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V:\Groups\BusOff\PAYROLL\Forms &amp; Templates\"/>
    </mc:Choice>
  </mc:AlternateContent>
  <xr:revisionPtr revIDLastSave="0" documentId="13_ncr:1_{AC40F835-24AB-4AF5-A2AC-901706EBED3E}" xr6:coauthVersionLast="47" xr6:coauthVersionMax="47" xr10:uidLastSave="{00000000-0000-0000-0000-000000000000}"/>
  <bookViews>
    <workbookView xWindow="-120" yWindow="-120" windowWidth="29040" windowHeight="17520" xr2:uid="{EBA5C4C8-1DCC-4192-86BE-298C93F3BA53}"/>
  </bookViews>
  <sheets>
    <sheet name="Undergrad" sheetId="3" r:id="rId1"/>
    <sheet name="Graduate OL" sheetId="1" r:id="rId2"/>
    <sheet name="Grad Inload over 70" sheetId="2" r:id="rId3"/>
  </sheets>
  <definedNames>
    <definedName name="Payment">#REF!</definedName>
    <definedName name="PaymentOptions">#REF!</definedName>
    <definedName name="PaymentType">#REF!</definedName>
    <definedName name="_xlnm.Print_Area" localSheetId="2">'Grad Inload over 70'!$A$1:$H$27</definedName>
    <definedName name="_xlnm.Print_Area" localSheetId="1">'Graduate OL'!$A$1:$H$27</definedName>
    <definedName name="_xlnm.Print_Area" localSheetId="0">Undergrad!$A$1:$K$27</definedName>
    <definedName name="TypeofPayme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3" l="1"/>
  <c r="W14" i="3"/>
  <c r="S15" i="3" s="1"/>
  <c r="S14" i="3"/>
  <c r="E20" i="3" s="1"/>
  <c r="W13" i="3"/>
  <c r="S13" i="3"/>
  <c r="C20" i="3" s="1"/>
  <c r="B13" i="3"/>
  <c r="D11" i="3"/>
  <c r="B9" i="3"/>
  <c r="B7" i="3"/>
  <c r="V3" i="3"/>
  <c r="D20" i="3" l="1"/>
  <c r="F20" i="3"/>
  <c r="T14" i="3"/>
  <c r="H20" i="3"/>
  <c r="G20" i="3"/>
  <c r="S16" i="3"/>
  <c r="T16" i="3" s="1"/>
  <c r="T15" i="3"/>
  <c r="T13" i="3"/>
  <c r="V4" i="3" l="1"/>
  <c r="I20" i="3" s="1"/>
  <c r="J20" i="3" l="1"/>
  <c r="E20" i="1" l="1"/>
  <c r="U24" i="2"/>
  <c r="V24" i="2" s="1"/>
  <c r="F20" i="2" s="1"/>
  <c r="X23" i="2"/>
  <c r="U23" i="2"/>
  <c r="U22" i="2"/>
  <c r="Y21" i="2"/>
  <c r="Z21" i="2" s="1"/>
  <c r="X21" i="2"/>
  <c r="U21" i="2"/>
  <c r="E20" i="2"/>
  <c r="F19" i="2"/>
  <c r="E19" i="2"/>
  <c r="E18" i="2"/>
  <c r="C18" i="2"/>
  <c r="W15" i="2"/>
  <c r="V15" i="2"/>
  <c r="V17" i="2" s="1"/>
  <c r="R15" i="2"/>
  <c r="V14" i="2"/>
  <c r="R14" i="2"/>
  <c r="B13" i="2"/>
  <c r="B9" i="2"/>
  <c r="B7" i="2"/>
  <c r="Q3" i="2"/>
  <c r="V20" i="2" s="1"/>
  <c r="U24" i="1"/>
  <c r="V24" i="1" s="1"/>
  <c r="F20" i="1" s="1"/>
  <c r="X23" i="1"/>
  <c r="U23" i="1"/>
  <c r="U22" i="1"/>
  <c r="Y21" i="1"/>
  <c r="X21" i="1"/>
  <c r="U21" i="1"/>
  <c r="F19" i="1"/>
  <c r="E19" i="1"/>
  <c r="E18" i="1"/>
  <c r="C18" i="1"/>
  <c r="W15" i="1"/>
  <c r="V15" i="1"/>
  <c r="V17" i="1" s="1"/>
  <c r="R15" i="1"/>
  <c r="V14" i="1"/>
  <c r="R14" i="1"/>
  <c r="B13" i="1"/>
  <c r="B9" i="1"/>
  <c r="B7" i="1"/>
  <c r="Q3" i="1"/>
  <c r="V20" i="1" s="1"/>
  <c r="R16" i="2" l="1"/>
  <c r="R17" i="2" s="1"/>
  <c r="S17" i="2" s="1"/>
  <c r="S14" i="2"/>
  <c r="S15" i="2"/>
  <c r="Z21" i="1"/>
  <c r="X20" i="2"/>
  <c r="V21" i="2"/>
  <c r="V23" i="2"/>
  <c r="V22" i="2"/>
  <c r="S15" i="1"/>
  <c r="V21" i="1"/>
  <c r="X20" i="1"/>
  <c r="V23" i="1"/>
  <c r="V22" i="1"/>
  <c r="S14" i="1"/>
  <c r="R16" i="1"/>
  <c r="S16" i="2" l="1"/>
  <c r="R18" i="2"/>
  <c r="V26" i="1"/>
  <c r="B20" i="1" s="1"/>
  <c r="V26" i="2"/>
  <c r="B20" i="2" s="1"/>
  <c r="D20" i="2" s="1"/>
  <c r="G20" i="2" s="1"/>
  <c r="S16" i="1"/>
  <c r="R17" i="1"/>
  <c r="R18" i="1" l="1"/>
  <c r="C20" i="1" s="1"/>
  <c r="D20" i="1" s="1"/>
  <c r="G20" i="1" s="1"/>
  <c r="S17" i="1"/>
</calcChain>
</file>

<file path=xl/sharedStrings.xml><?xml version="1.0" encoding="utf-8"?>
<sst xmlns="http://schemas.openxmlformats.org/spreadsheetml/2006/main" count="91" uniqueCount="29">
  <si>
    <t>Grad Teaching Instruction Calculator</t>
  </si>
  <si>
    <t>AY (9 Month)</t>
  </si>
  <si>
    <t>Please complete all Green Boxes at the top.  This will allow the bottom to auto-populate.</t>
  </si>
  <si>
    <t>FY (12 Month)</t>
  </si>
  <si>
    <t>AY or FY Salary</t>
  </si>
  <si>
    <t>Residential</t>
  </si>
  <si>
    <t>Yes</t>
  </si>
  <si>
    <t>Mode</t>
  </si>
  <si>
    <t>Online</t>
  </si>
  <si>
    <t>No</t>
  </si>
  <si>
    <t>Me</t>
  </si>
  <si>
    <t>Credit Hours</t>
  </si>
  <si>
    <t>Total Students</t>
  </si>
  <si>
    <t>Other Instructor</t>
  </si>
  <si>
    <t>Team Teaching</t>
  </si>
  <si>
    <t>Refresh</t>
  </si>
  <si>
    <t>Base</t>
  </si>
  <si>
    <t>Delivery</t>
  </si>
  <si>
    <t>Team</t>
  </si>
  <si>
    <t>Daily Rate</t>
  </si>
  <si>
    <t>Total</t>
  </si>
  <si>
    <t>Non Develop</t>
  </si>
  <si>
    <t>Days</t>
  </si>
  <si>
    <t>Payment</t>
  </si>
  <si>
    <t>Course Information:</t>
  </si>
  <si>
    <t>Updated 06/09/26</t>
  </si>
  <si>
    <t xml:space="preserve"> Undergrad Teaching Instruction Calculator</t>
  </si>
  <si>
    <t>Students</t>
  </si>
  <si>
    <t>Total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</si>
</sst>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rial Black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i/>
      <sz val="16"/>
      <color theme="1"/>
      <name val="Arial"/>
      <family val="2"/>
    </font>
    <font>
      <i/>
      <sz val="9"/>
      <color theme="1"/>
      <name val="Arial"/>
      <family val="2"/>
    </font>
    <font>
      <b/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164" fontId="5" fillId="3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9" fontId="4" fillId="0" borderId="0" xfId="2" applyFont="1" applyAlignment="1" applyProtection="1">
      <alignment vertical="center"/>
    </xf>
    <xf numFmtId="2" fontId="4" fillId="0" borderId="3" xfId="1" applyNumberFormat="1" applyFont="1" applyBorder="1" applyAlignment="1" applyProtection="1">
      <alignment horizontal="center" vertical="center"/>
    </xf>
    <xf numFmtId="44" fontId="4" fillId="0" borderId="4" xfId="1" applyFont="1" applyBorder="1" applyAlignment="1" applyProtection="1">
      <alignment horizontal="center" vertical="center"/>
    </xf>
    <xf numFmtId="44" fontId="4" fillId="2" borderId="4" xfId="1" applyFont="1" applyFill="1" applyBorder="1" applyAlignment="1" applyProtection="1">
      <alignment horizontal="center" vertical="center"/>
    </xf>
    <xf numFmtId="44" fontId="4" fillId="5" borderId="2" xfId="1" applyFont="1" applyFill="1" applyBorder="1" applyAlignment="1" applyProtection="1">
      <alignment horizontal="center" vertical="center"/>
    </xf>
    <xf numFmtId="44" fontId="4" fillId="0" borderId="0" xfId="0" applyNumberFormat="1" applyFont="1"/>
    <xf numFmtId="0" fontId="4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0" fontId="3" fillId="4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/>
    </xf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left"/>
    </xf>
    <xf numFmtId="0" fontId="4" fillId="0" borderId="1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vertical="center"/>
    </xf>
    <xf numFmtId="0" fontId="3" fillId="4" borderId="6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165" fontId="4" fillId="0" borderId="0" xfId="0" applyNumberFormat="1" applyFont="1" applyAlignment="1" applyProtection="1">
      <alignment horizontal="center" vertical="center"/>
    </xf>
    <xf numFmtId="44" fontId="4" fillId="0" borderId="0" xfId="0" applyNumberFormat="1" applyFont="1" applyAlignment="1" applyProtection="1">
      <alignment horizontal="center" vertical="center"/>
    </xf>
    <xf numFmtId="44" fontId="4" fillId="0" borderId="0" xfId="0" applyNumberFormat="1" applyFont="1" applyProtection="1"/>
    <xf numFmtId="0" fontId="4" fillId="0" borderId="0" xfId="0" applyFont="1" applyAlignment="1" applyProtection="1">
      <alignment wrapText="1"/>
    </xf>
    <xf numFmtId="44" fontId="4" fillId="0" borderId="0" xfId="0" applyNumberFormat="1" applyFont="1" applyAlignment="1" applyProtection="1">
      <alignment vertical="center"/>
    </xf>
    <xf numFmtId="0" fontId="8" fillId="0" borderId="0" xfId="0" applyFont="1" applyProtection="1"/>
    <xf numFmtId="0" fontId="7" fillId="0" borderId="0" xfId="0" applyFont="1" applyAlignment="1" applyProtection="1">
      <alignment horizontal="center"/>
    </xf>
    <xf numFmtId="0" fontId="4" fillId="0" borderId="7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top"/>
    </xf>
    <xf numFmtId="164" fontId="4" fillId="0" borderId="0" xfId="1" applyNumberFormat="1" applyFont="1" applyProtection="1"/>
    <xf numFmtId="0" fontId="4" fillId="0" borderId="0" xfId="0" applyFont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5" fillId="0" borderId="14" xfId="1" applyNumberFormat="1" applyFont="1" applyBorder="1" applyAlignment="1" applyProtection="1">
      <alignment horizontal="center" vertical="center"/>
    </xf>
    <xf numFmtId="44" fontId="5" fillId="0" borderId="13" xfId="1" applyFont="1" applyBorder="1" applyAlignment="1" applyProtection="1">
      <alignment horizontal="center" vertical="center"/>
    </xf>
    <xf numFmtId="44" fontId="10" fillId="2" borderId="16" xfId="0" applyNumberFormat="1" applyFont="1" applyFill="1" applyBorder="1" applyAlignment="1">
      <alignment vertical="center"/>
    </xf>
    <xf numFmtId="0" fontId="4" fillId="0" borderId="17" xfId="0" applyFont="1" applyBorder="1" applyAlignment="1">
      <alignment horizont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44" fontId="4" fillId="6" borderId="3" xfId="1" applyFont="1" applyFill="1" applyBorder="1" applyAlignment="1" applyProtection="1">
      <alignment horizontal="center" vertical="center"/>
    </xf>
    <xf numFmtId="44" fontId="4" fillId="7" borderId="3" xfId="1" applyFont="1" applyFill="1" applyBorder="1" applyAlignment="1" applyProtection="1">
      <alignment horizontal="center" vertical="center"/>
    </xf>
    <xf numFmtId="44" fontId="5" fillId="8" borderId="15" xfId="1" applyFont="1" applyFill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1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>
          <bgColor theme="9" tint="0.59996337778862885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BBF89-2B18-463F-BB39-8388511974FB}">
  <sheetPr>
    <tabColor rgb="FF00B0F0"/>
    <pageSetUpPr fitToPage="1"/>
  </sheetPr>
  <dimension ref="B2:Y26"/>
  <sheetViews>
    <sheetView showGridLines="0" tabSelected="1" workbookViewId="0">
      <selection activeCell="C6" sqref="C6"/>
    </sheetView>
  </sheetViews>
  <sheetFormatPr defaultRowHeight="14.25" x14ac:dyDescent="0.2"/>
  <cols>
    <col min="1" max="1" width="3.7109375" style="2" customWidth="1"/>
    <col min="2" max="2" width="26.7109375" style="2" customWidth="1"/>
    <col min="3" max="3" width="16.7109375" style="49" customWidth="1"/>
    <col min="4" max="9" width="16.7109375" style="2" customWidth="1"/>
    <col min="10" max="10" width="26.7109375" style="2" customWidth="1"/>
    <col min="11" max="11" width="3.7109375" style="2" customWidth="1"/>
    <col min="12" max="15" width="9.140625" style="2" customWidth="1"/>
    <col min="16" max="17" width="9.140625" style="2" hidden="1" customWidth="1"/>
    <col min="18" max="18" width="11.28515625" style="2" hidden="1" customWidth="1"/>
    <col min="19" max="19" width="10.5703125" style="2" hidden="1" customWidth="1"/>
    <col min="20" max="21" width="9.140625" style="2" hidden="1" customWidth="1"/>
    <col min="22" max="22" width="13.140625" style="2" hidden="1" customWidth="1"/>
    <col min="23" max="25" width="9.140625" style="2" hidden="1" customWidth="1"/>
    <col min="26" max="39" width="9.140625" style="2" customWidth="1"/>
    <col min="40" max="16384" width="9.140625" style="2"/>
  </cols>
  <sheetData>
    <row r="2" spans="2:23" ht="24.75" x14ac:dyDescent="0.5">
      <c r="B2" s="20" t="s">
        <v>26</v>
      </c>
      <c r="C2" s="20"/>
      <c r="D2" s="20"/>
      <c r="E2" s="20"/>
      <c r="F2" s="20"/>
      <c r="G2" s="20"/>
      <c r="H2" s="20"/>
      <c r="I2" s="20"/>
    </row>
    <row r="3" spans="2:23" ht="15" x14ac:dyDescent="0.25">
      <c r="B3" s="3"/>
      <c r="C3" s="3"/>
      <c r="D3" s="3"/>
      <c r="E3" s="3"/>
      <c r="F3" s="3"/>
      <c r="G3" s="3"/>
      <c r="H3" s="3"/>
      <c r="I3" s="3"/>
      <c r="P3" s="2" t="s">
        <v>1</v>
      </c>
      <c r="V3" s="48">
        <f>C10*C11*275</f>
        <v>0</v>
      </c>
    </row>
    <row r="4" spans="2:23" ht="15" x14ac:dyDescent="0.25">
      <c r="B4" s="21" t="s">
        <v>2</v>
      </c>
      <c r="C4" s="21"/>
      <c r="D4" s="21"/>
      <c r="E4" s="21"/>
      <c r="F4" s="21"/>
      <c r="G4" s="21"/>
      <c r="P4" s="2" t="s">
        <v>3</v>
      </c>
      <c r="V4" s="48" t="e">
        <f>D20+F20+H20</f>
        <v>#DIV/0!</v>
      </c>
    </row>
    <row r="6" spans="2:23" s="6" customFormat="1" ht="24.95" customHeight="1" x14ac:dyDescent="0.25">
      <c r="B6" s="4" t="s">
        <v>4</v>
      </c>
      <c r="C6" s="5"/>
    </row>
    <row r="7" spans="2:23" s="6" customFormat="1" ht="24.95" customHeight="1" x14ac:dyDescent="0.25">
      <c r="B7" s="4" t="str">
        <f>IF(C6=P3, "AY Salary", "FY Salary")</f>
        <v>FY Salary</v>
      </c>
      <c r="C7" s="7">
        <v>0</v>
      </c>
      <c r="P7" s="6" t="s">
        <v>5</v>
      </c>
      <c r="Q7" s="6" t="s">
        <v>6</v>
      </c>
      <c r="R7" s="6">
        <v>1</v>
      </c>
    </row>
    <row r="8" spans="2:23" s="6" customFormat="1" ht="24.95" customHeight="1" x14ac:dyDescent="0.25">
      <c r="B8" s="4" t="s">
        <v>7</v>
      </c>
      <c r="C8" s="5"/>
      <c r="P8" s="6" t="s">
        <v>8</v>
      </c>
      <c r="Q8" s="6" t="s">
        <v>9</v>
      </c>
      <c r="R8" s="6">
        <v>2</v>
      </c>
    </row>
    <row r="9" spans="2:23" s="6" customFormat="1" ht="24.95" customHeight="1" x14ac:dyDescent="0.25">
      <c r="B9" s="4" t="str">
        <f>IF(C8=P8,"Refresh Performed"," ")</f>
        <v xml:space="preserve"> </v>
      </c>
      <c r="C9" s="8"/>
      <c r="R9" s="6">
        <v>3</v>
      </c>
    </row>
    <row r="10" spans="2:23" s="6" customFormat="1" ht="24.95" customHeight="1" x14ac:dyDescent="0.25">
      <c r="B10" s="4" t="s">
        <v>11</v>
      </c>
      <c r="C10" s="5"/>
    </row>
    <row r="11" spans="2:23" s="6" customFormat="1" ht="24.95" customHeight="1" x14ac:dyDescent="0.25">
      <c r="B11" s="4" t="s">
        <v>27</v>
      </c>
      <c r="C11" s="5"/>
      <c r="D11" s="1" t="str">
        <f>IF(C11&lt;26,"  **This course is subject to the Low Enrollment Compensation clause in KRAN policy 20-1"," ")</f>
        <v xml:space="preserve">  **This course is subject to the Low Enrollment Compensation clause in KRAN policy 20-1</v>
      </c>
    </row>
    <row r="12" spans="2:23" s="6" customFormat="1" ht="24.95" customHeight="1" x14ac:dyDescent="0.25">
      <c r="B12" s="4" t="s">
        <v>14</v>
      </c>
      <c r="C12" s="5"/>
    </row>
    <row r="13" spans="2:23" s="6" customFormat="1" ht="24.95" customHeight="1" x14ac:dyDescent="0.25">
      <c r="B13" s="63" t="str">
        <f>IF(C12=Q7,"Total Number of instructors"," ")</f>
        <v xml:space="preserve"> </v>
      </c>
      <c r="C13" s="64"/>
      <c r="D13" s="10"/>
      <c r="R13" s="6" t="s">
        <v>15</v>
      </c>
      <c r="S13" s="6">
        <f>IF(C8=P7,0,IF(C9=Q7,IF(C12=Q7,C10*2/C13,C10*2),0))</f>
        <v>0</v>
      </c>
      <c r="T13" s="6" t="e">
        <f>S13/$B$20</f>
        <v>#DIV/0!</v>
      </c>
      <c r="V13" s="6" t="s">
        <v>5</v>
      </c>
      <c r="W13" s="6">
        <f>C10*6.5</f>
        <v>0</v>
      </c>
    </row>
    <row r="14" spans="2:23" x14ac:dyDescent="0.2">
      <c r="R14" s="2" t="s">
        <v>16</v>
      </c>
      <c r="S14" s="2">
        <f>IF(C12=Q7,2/C13,2)</f>
        <v>2</v>
      </c>
      <c r="T14" s="2" t="e">
        <f>S14/$B$20</f>
        <v>#DIV/0!</v>
      </c>
      <c r="V14" s="2" t="s">
        <v>8</v>
      </c>
      <c r="W14" s="2">
        <f>IF(C11&lt;26,2*C10,IF(C11&lt;126,((3.5*C10)+((0.03*C10)*(C11-25))),(6.5*C10+(0.01*(C11-125)*C10))))</f>
        <v>0</v>
      </c>
    </row>
    <row r="15" spans="2:23" x14ac:dyDescent="0.2">
      <c r="R15" s="2" t="s">
        <v>17</v>
      </c>
      <c r="S15" s="2">
        <f>IF(C8=P7,W13,W14)</f>
        <v>0</v>
      </c>
      <c r="T15" s="2">
        <f>S15</f>
        <v>0</v>
      </c>
    </row>
    <row r="16" spans="2:23" x14ac:dyDescent="0.2">
      <c r="R16" s="2" t="s">
        <v>18</v>
      </c>
      <c r="S16" s="2" t="e">
        <f>S15/C13</f>
        <v>#DIV/0!</v>
      </c>
      <c r="T16" s="2" t="e">
        <f>S16/$B$20</f>
        <v>#DIV/0!</v>
      </c>
    </row>
    <row r="17" spans="2:22" ht="15" thickBot="1" x14ac:dyDescent="0.25">
      <c r="H17" s="50"/>
      <c r="I17" s="51"/>
      <c r="J17" s="51"/>
    </row>
    <row r="18" spans="2:22" s="49" customFormat="1" ht="18" customHeight="1" x14ac:dyDescent="0.2">
      <c r="B18" s="52" t="s">
        <v>19</v>
      </c>
      <c r="C18" s="53" t="s">
        <v>15</v>
      </c>
      <c r="D18" s="54"/>
      <c r="E18" s="52" t="s">
        <v>16</v>
      </c>
      <c r="F18" s="54"/>
      <c r="G18" s="52" t="s">
        <v>17</v>
      </c>
      <c r="H18" s="54"/>
      <c r="I18" s="52" t="s">
        <v>28</v>
      </c>
      <c r="J18" s="54"/>
      <c r="V18" s="55"/>
    </row>
    <row r="19" spans="2:22" s="49" customFormat="1" ht="18" customHeight="1" thickBot="1" x14ac:dyDescent="0.25">
      <c r="B19" s="22"/>
      <c r="C19" s="56" t="s">
        <v>22</v>
      </c>
      <c r="D19" s="57" t="s">
        <v>23</v>
      </c>
      <c r="E19" s="58" t="s">
        <v>22</v>
      </c>
      <c r="F19" s="57" t="s">
        <v>23</v>
      </c>
      <c r="G19" s="58" t="s">
        <v>22</v>
      </c>
      <c r="H19" s="57" t="s">
        <v>23</v>
      </c>
      <c r="I19" s="58" t="s">
        <v>22</v>
      </c>
      <c r="J19" s="57" t="s">
        <v>23</v>
      </c>
    </row>
    <row r="20" spans="2:22" s="6" customFormat="1" ht="30" customHeight="1" thickBot="1" x14ac:dyDescent="0.3">
      <c r="B20" s="67">
        <f>IF(C6=P3,C7/180,C7/240)</f>
        <v>0</v>
      </c>
      <c r="C20" s="59">
        <f>S13</f>
        <v>0</v>
      </c>
      <c r="D20" s="60">
        <f>C20*B20</f>
        <v>0</v>
      </c>
      <c r="E20" s="59">
        <f>S14</f>
        <v>2</v>
      </c>
      <c r="F20" s="60">
        <f>E20*B20</f>
        <v>0</v>
      </c>
      <c r="G20" s="59" t="e">
        <f>IF(C12=Q8,S15,S16)</f>
        <v>#DIV/0!</v>
      </c>
      <c r="H20" s="60" t="e">
        <f>IF(C12=Q8,S15*B20,S16*B20)</f>
        <v>#DIV/0!</v>
      </c>
      <c r="I20" s="59" t="e">
        <f>IF(C11&lt;26,IF(V4&lt;V3,(C20+E20+G20),"NA"),C20+E20+G20)</f>
        <v>#DIV/0!</v>
      </c>
      <c r="J20" s="61" t="e">
        <f>IF(C11&lt;26,IF(V3&gt;V4,V4,V3),V4)</f>
        <v>#DIV/0!</v>
      </c>
    </row>
    <row r="21" spans="2:22" ht="15.75" customHeight="1" x14ac:dyDescent="0.2">
      <c r="I21" s="62"/>
    </row>
    <row r="23" spans="2:22" ht="15.75" x14ac:dyDescent="0.25">
      <c r="B23" s="19" t="s">
        <v>24</v>
      </c>
      <c r="C23" s="19"/>
    </row>
    <row r="24" spans="2:22" ht="5.0999999999999996" customHeight="1" x14ac:dyDescent="0.2">
      <c r="C24" s="2"/>
      <c r="J24" s="16"/>
    </row>
    <row r="25" spans="2:22" ht="20.25" x14ac:dyDescent="0.3">
      <c r="B25" s="17"/>
      <c r="C25" s="18"/>
      <c r="D25" s="17"/>
      <c r="E25" s="17"/>
      <c r="F25" s="17"/>
      <c r="G25" s="17"/>
      <c r="H25" s="17"/>
      <c r="I25" s="17"/>
      <c r="J25" s="17"/>
    </row>
    <row r="26" spans="2:22" x14ac:dyDescent="0.2">
      <c r="B26" s="17"/>
      <c r="C26" s="17"/>
      <c r="D26" s="17"/>
      <c r="E26" s="17"/>
      <c r="F26" s="17"/>
      <c r="G26" s="17"/>
      <c r="H26" s="17"/>
      <c r="I26" s="17"/>
      <c r="J26" s="17"/>
    </row>
  </sheetData>
  <sheetProtection sheet="1" objects="1" scenarios="1" selectLockedCells="1"/>
  <mergeCells count="9">
    <mergeCell ref="B23:C23"/>
    <mergeCell ref="B2:I2"/>
    <mergeCell ref="B4:G4"/>
    <mergeCell ref="I17:J17"/>
    <mergeCell ref="B18:B19"/>
    <mergeCell ref="C18:D18"/>
    <mergeCell ref="E18:F18"/>
    <mergeCell ref="G18:H18"/>
    <mergeCell ref="I18:J18"/>
  </mergeCells>
  <conditionalFormatting sqref="B13:C13">
    <cfRule type="expression" dxfId="0" priority="2">
      <formula>$C$12="Yes"</formula>
    </cfRule>
  </conditionalFormatting>
  <conditionalFormatting sqref="C9">
    <cfRule type="expression" dxfId="3" priority="4">
      <formula>$C$8=$P$8</formula>
    </cfRule>
  </conditionalFormatting>
  <conditionalFormatting sqref="C13">
    <cfRule type="expression" dxfId="2" priority="1">
      <formula>$C$12=$Q$7</formula>
    </cfRule>
    <cfRule type="expression" dxfId="1" priority="3">
      <formula>$C$12="yes"</formula>
    </cfRule>
  </conditionalFormatting>
  <dataValidations count="5">
    <dataValidation type="list" allowBlank="1" showInputMessage="1" showErrorMessage="1" sqref="C10" xr:uid="{DBF80194-6BCA-4799-BEEA-6C0E2177FDB4}">
      <formula1>$R$6:$R$9</formula1>
    </dataValidation>
    <dataValidation type="list" allowBlank="1" showInputMessage="1" showErrorMessage="1" sqref="C9" xr:uid="{22EAB856-CD50-4F15-AC8B-7436AABD44AD}">
      <formula1>$Q$5:$Q$8</formula1>
    </dataValidation>
    <dataValidation type="list" allowBlank="1" showInputMessage="1" showErrorMessage="1" sqref="C8" xr:uid="{56B74CE9-3FBB-4A1D-A2E3-5AD876BB25E7}">
      <formula1>$P$6:$P$8</formula1>
    </dataValidation>
    <dataValidation type="list" allowBlank="1" showInputMessage="1" showErrorMessage="1" sqref="C6" xr:uid="{96EA18EB-E77B-4E1A-A435-B6D36B1B3A01}">
      <formula1>$P$3:$P$4</formula1>
    </dataValidation>
    <dataValidation type="list" allowBlank="1" showInputMessage="1" showErrorMessage="1" sqref="C12" xr:uid="{6E42D615-41F1-465A-A850-E655A2D1BDC9}">
      <formula1>$Q$6:$Q$8</formula1>
    </dataValidation>
  </dataValidations>
  <printOptions horizontalCentered="1"/>
  <pageMargins left="0" right="0" top="0.75" bottom="0.75" header="0.3" footer="0.3"/>
  <pageSetup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35271-759C-4FAF-BBDE-261E398CA115}">
  <sheetPr>
    <tabColor rgb="FF92D050"/>
    <pageSetUpPr fitToPage="1"/>
  </sheetPr>
  <dimension ref="A1:AC26"/>
  <sheetViews>
    <sheetView showGridLines="0" zoomScaleNormal="100" workbookViewId="0">
      <selection activeCell="C6" sqref="C6"/>
    </sheetView>
  </sheetViews>
  <sheetFormatPr defaultRowHeight="14.25" x14ac:dyDescent="0.2"/>
  <cols>
    <col min="1" max="1" width="3.7109375" style="25" customWidth="1"/>
    <col min="2" max="2" width="27.7109375" style="25" customWidth="1"/>
    <col min="3" max="7" width="17.7109375" style="25" customWidth="1"/>
    <col min="8" max="8" width="3.7109375" style="25" customWidth="1"/>
    <col min="9" max="13" width="9.140625" style="25" customWidth="1"/>
    <col min="14" max="16" width="9.140625" style="25" hidden="1" customWidth="1"/>
    <col min="17" max="17" width="14.7109375" style="25" hidden="1" customWidth="1"/>
    <col min="18" max="18" width="10.5703125" style="25" hidden="1" customWidth="1"/>
    <col min="19" max="20" width="9.140625" style="25" hidden="1" customWidth="1"/>
    <col min="21" max="21" width="13.140625" style="25" hidden="1" customWidth="1"/>
    <col min="22" max="22" width="11.5703125" style="25" hidden="1" customWidth="1"/>
    <col min="23" max="23" width="9.140625" style="25" hidden="1" customWidth="1"/>
    <col min="24" max="24" width="9.85546875" style="25" hidden="1" customWidth="1"/>
    <col min="25" max="26" width="9.140625" style="25" hidden="1" customWidth="1"/>
    <col min="27" max="35" width="9.140625" style="25" customWidth="1"/>
    <col min="36" max="16384" width="9.140625" style="25"/>
  </cols>
  <sheetData>
    <row r="1" spans="1:23" x14ac:dyDescent="0.2">
      <c r="A1" s="47" t="s">
        <v>25</v>
      </c>
    </row>
    <row r="2" spans="1:23" ht="24.75" x14ac:dyDescent="0.5">
      <c r="B2" s="23" t="s">
        <v>0</v>
      </c>
      <c r="C2" s="23"/>
      <c r="D2" s="23"/>
      <c r="E2" s="23"/>
      <c r="F2" s="23"/>
      <c r="G2" s="23"/>
      <c r="H2" s="23"/>
    </row>
    <row r="3" spans="1:23" ht="15" x14ac:dyDescent="0.25">
      <c r="B3" s="26"/>
      <c r="C3" s="26"/>
      <c r="D3" s="26"/>
      <c r="E3" s="26"/>
      <c r="F3" s="26"/>
      <c r="G3" s="26"/>
      <c r="H3" s="26"/>
      <c r="O3" s="25" t="s">
        <v>1</v>
      </c>
      <c r="Q3" s="25">
        <f>IF(C7&gt;260000,260000,IF(C7&lt;180000,180000,C7))</f>
        <v>180000</v>
      </c>
    </row>
    <row r="4" spans="1:23" ht="15" x14ac:dyDescent="0.25">
      <c r="B4" s="27" t="s">
        <v>2</v>
      </c>
      <c r="C4" s="27"/>
      <c r="D4" s="27"/>
      <c r="E4" s="27"/>
      <c r="F4" s="27"/>
      <c r="G4" s="27"/>
      <c r="O4" s="25" t="s">
        <v>3</v>
      </c>
    </row>
    <row r="6" spans="1:23" s="29" customFormat="1" ht="24.95" customHeight="1" x14ac:dyDescent="0.25">
      <c r="B6" s="28" t="s">
        <v>4</v>
      </c>
      <c r="C6" s="5"/>
    </row>
    <row r="7" spans="1:23" s="29" customFormat="1" ht="24.95" customHeight="1" x14ac:dyDescent="0.25">
      <c r="B7" s="28" t="str">
        <f>IF(C6=O3, "AY Salary", "FY Salary")</f>
        <v>FY Salary</v>
      </c>
      <c r="C7" s="7">
        <v>0</v>
      </c>
      <c r="O7" s="29" t="s">
        <v>5</v>
      </c>
      <c r="P7" s="29" t="s">
        <v>6</v>
      </c>
      <c r="Q7" s="29">
        <v>1</v>
      </c>
    </row>
    <row r="8" spans="1:23" s="29" customFormat="1" ht="24.95" customHeight="1" x14ac:dyDescent="0.25">
      <c r="B8" s="28" t="s">
        <v>7</v>
      </c>
      <c r="C8" s="5"/>
      <c r="O8" s="29" t="s">
        <v>8</v>
      </c>
      <c r="P8" s="29" t="s">
        <v>9</v>
      </c>
      <c r="Q8" s="29">
        <v>2</v>
      </c>
    </row>
    <row r="9" spans="1:23" s="29" customFormat="1" ht="24.95" customHeight="1" x14ac:dyDescent="0.25">
      <c r="B9" s="28" t="str">
        <f>IF(C8=O8,"Course Developed By"," ")</f>
        <v xml:space="preserve"> </v>
      </c>
      <c r="C9" s="8"/>
      <c r="Q9" s="29">
        <v>3</v>
      </c>
    </row>
    <row r="10" spans="1:23" s="29" customFormat="1" ht="24.95" customHeight="1" x14ac:dyDescent="0.25">
      <c r="B10" s="28" t="s">
        <v>11</v>
      </c>
      <c r="C10" s="5"/>
      <c r="O10" s="29" t="s">
        <v>10</v>
      </c>
    </row>
    <row r="11" spans="1:23" s="29" customFormat="1" ht="24.95" customHeight="1" x14ac:dyDescent="0.25">
      <c r="B11" s="28" t="s">
        <v>12</v>
      </c>
      <c r="C11" s="9"/>
      <c r="O11" s="29" t="s">
        <v>13</v>
      </c>
    </row>
    <row r="12" spans="1:23" s="29" customFormat="1" ht="24.95" customHeight="1" x14ac:dyDescent="0.25">
      <c r="B12" s="28" t="s">
        <v>14</v>
      </c>
      <c r="C12" s="5"/>
    </row>
    <row r="13" spans="1:23" s="29" customFormat="1" ht="24.95" customHeight="1" x14ac:dyDescent="0.25">
      <c r="B13" s="45" t="str">
        <f>IF(C12=P7,"Total Number of instructors"," ")</f>
        <v xml:space="preserve"> </v>
      </c>
      <c r="C13" s="46"/>
    </row>
    <row r="14" spans="1:23" s="29" customFormat="1" ht="24.95" customHeight="1" x14ac:dyDescent="0.25">
      <c r="Q14" s="29" t="s">
        <v>15</v>
      </c>
      <c r="R14" s="29">
        <f>IF(C8=O7,0,IF(C9=P7,C10*2,0))</f>
        <v>0</v>
      </c>
      <c r="S14" s="29">
        <f>R14/$V$20</f>
        <v>0</v>
      </c>
      <c r="U14" s="29" t="s">
        <v>5</v>
      </c>
      <c r="V14" s="29">
        <f>C10*7</f>
        <v>0</v>
      </c>
    </row>
    <row r="15" spans="1:23" s="29" customFormat="1" x14ac:dyDescent="0.25">
      <c r="Q15" s="29" t="s">
        <v>16</v>
      </c>
      <c r="R15" s="29">
        <f>IF(C12=P7,2/C13,2)</f>
        <v>2</v>
      </c>
      <c r="S15" s="29">
        <f>R15/$V$20</f>
        <v>2.6666666666666666E-3</v>
      </c>
      <c r="U15" s="29" t="s">
        <v>8</v>
      </c>
      <c r="V15" s="29">
        <f>7*C10</f>
        <v>0</v>
      </c>
      <c r="W15" s="29">
        <f>IF(C8=O8,IF(C11&gt;40,C10*(C11-40)*67,0),0)</f>
        <v>0</v>
      </c>
    </row>
    <row r="16" spans="1:23" s="29" customFormat="1" x14ac:dyDescent="0.25">
      <c r="Q16" s="29" t="s">
        <v>17</v>
      </c>
      <c r="R16" s="29">
        <f>IF(C8=O7,V14,V15)</f>
        <v>0</v>
      </c>
      <c r="S16" s="29">
        <f>R16</f>
        <v>0</v>
      </c>
    </row>
    <row r="17" spans="1:26" s="29" customFormat="1" x14ac:dyDescent="0.25">
      <c r="Q17" s="29" t="s">
        <v>18</v>
      </c>
      <c r="R17" s="29" t="e">
        <f>IF(C12="no",R16/1,R16/C13)</f>
        <v>#DIV/0!</v>
      </c>
      <c r="S17" s="29" t="e">
        <f>R17/$V$20</f>
        <v>#DIV/0!</v>
      </c>
      <c r="V17" s="11" t="e">
        <f>V16/V15</f>
        <v>#DIV/0!</v>
      </c>
    </row>
    <row r="18" spans="1:26" s="29" customFormat="1" ht="15" x14ac:dyDescent="0.25">
      <c r="A18" s="30"/>
      <c r="B18" s="31" t="s">
        <v>19</v>
      </c>
      <c r="C18" s="32" t="str">
        <f>IF($C$8=$O$7,"Delivery","Delivery up to 70")</f>
        <v>Delivery up to 70</v>
      </c>
      <c r="D18" s="33"/>
      <c r="E18" s="32" t="str">
        <f>IF($C$8=$O$7," ","Delivery over 70")</f>
        <v>Delivery over 70</v>
      </c>
      <c r="F18" s="33"/>
      <c r="G18" s="34" t="s">
        <v>20</v>
      </c>
      <c r="Q18" s="29" t="s">
        <v>21</v>
      </c>
      <c r="R18" s="29" t="e">
        <f>IF(C9=O11,R17*2/3,R17)</f>
        <v>#DIV/0!</v>
      </c>
    </row>
    <row r="19" spans="1:26" s="30" customFormat="1" ht="18" customHeight="1" x14ac:dyDescent="0.25">
      <c r="B19" s="35"/>
      <c r="C19" s="36" t="s">
        <v>22</v>
      </c>
      <c r="D19" s="37" t="s">
        <v>23</v>
      </c>
      <c r="E19" s="36" t="str">
        <f>IF($C$8=$O$7," ","Per Student CH")</f>
        <v>Per Student CH</v>
      </c>
      <c r="F19" s="36" t="str">
        <f>IF($C$8=$O$7," ","Payment")</f>
        <v>Payment</v>
      </c>
      <c r="G19" s="37" t="s">
        <v>23</v>
      </c>
      <c r="S19" s="38"/>
    </row>
    <row r="20" spans="1:26" s="30" customFormat="1" ht="18" customHeight="1" x14ac:dyDescent="0.25">
      <c r="A20" s="29"/>
      <c r="B20" s="65">
        <f>IF(C8=O7,V20,V26)</f>
        <v>0</v>
      </c>
      <c r="C20" s="12" t="e">
        <f>R18</f>
        <v>#DIV/0!</v>
      </c>
      <c r="D20" s="13" t="e">
        <f>B20*C20</f>
        <v>#DIV/0!</v>
      </c>
      <c r="E20" s="13" t="str">
        <f>IF($C$8=$O$7," ","$75")</f>
        <v>$75</v>
      </c>
      <c r="F20" s="13">
        <f>IF($C$8=$O$7,0,C10*V24)</f>
        <v>0</v>
      </c>
      <c r="G20" s="14" t="e">
        <f>D20+F20</f>
        <v>#DIV/0!</v>
      </c>
      <c r="H20" s="39"/>
      <c r="V20" s="15">
        <f>IF(C6=O3,Q3/180,Q3/240)</f>
        <v>750</v>
      </c>
      <c r="X20" s="39">
        <f>V20*0.3/35</f>
        <v>6.4285714285714288</v>
      </c>
      <c r="Y20" s="30">
        <v>225000</v>
      </c>
    </row>
    <row r="21" spans="1:26" s="29" customFormat="1" ht="30" customHeight="1" x14ac:dyDescent="0.2">
      <c r="A21" s="25"/>
      <c r="B21" s="25"/>
      <c r="C21" s="25"/>
      <c r="D21" s="25"/>
      <c r="E21" s="25"/>
      <c r="F21" s="25"/>
      <c r="G21" s="40"/>
      <c r="H21" s="25"/>
      <c r="I21" s="25"/>
      <c r="J21" s="25"/>
      <c r="K21" s="25"/>
      <c r="L21" s="25"/>
      <c r="M21" s="25"/>
      <c r="T21" s="29">
        <v>15</v>
      </c>
      <c r="U21" s="29">
        <f>IF($C$11&gt;T21,T21,$C$11)</f>
        <v>0</v>
      </c>
      <c r="V21" s="42">
        <f>$V$20*0.4/15*U21</f>
        <v>0</v>
      </c>
      <c r="X21" s="29">
        <f>0.3/35</f>
        <v>8.5714285714285719E-3</v>
      </c>
      <c r="Y21" s="29">
        <f>Y20/180</f>
        <v>1250</v>
      </c>
      <c r="Z21" s="29">
        <f>Y21*X21</f>
        <v>10.714285714285715</v>
      </c>
    </row>
    <row r="22" spans="1:26" ht="30" customHeight="1" x14ac:dyDescent="0.25">
      <c r="B22" s="44" t="s">
        <v>24</v>
      </c>
      <c r="C22" s="44"/>
      <c r="T22" s="25">
        <v>35</v>
      </c>
      <c r="U22" s="29">
        <f>IF($C$11&gt;T22,20,IF($C$11&lt;T21,0,C11-T21))</f>
        <v>0</v>
      </c>
      <c r="V22" s="42">
        <f>$V$20*0.3/20*U22</f>
        <v>0</v>
      </c>
    </row>
    <row r="23" spans="1:26" x14ac:dyDescent="0.2">
      <c r="C23" s="17"/>
      <c r="T23" s="25">
        <v>70</v>
      </c>
      <c r="U23" s="29">
        <f>IF($C$11&gt;T23,35,IF($C$11&lt;T22,0,$C$11-T22))</f>
        <v>0</v>
      </c>
      <c r="V23" s="42">
        <f>IF($V$20*0.3/35&lt;X23,X23,$V$20*0.3/35)*U23</f>
        <v>0</v>
      </c>
      <c r="X23" s="40">
        <f>75/7</f>
        <v>10.714285714285714</v>
      </c>
    </row>
    <row r="24" spans="1:26" ht="20.25" x14ac:dyDescent="0.3">
      <c r="C24" s="43"/>
      <c r="U24" s="25">
        <f>IF(C11&gt;T23,C11-T23,0)</f>
        <v>0</v>
      </c>
      <c r="V24" s="25">
        <f>U24*75</f>
        <v>0</v>
      </c>
    </row>
    <row r="25" spans="1:26" ht="5.0999999999999996" customHeight="1" x14ac:dyDescent="0.2"/>
    <row r="26" spans="1:26" x14ac:dyDescent="0.2">
      <c r="V26" s="40">
        <f>SUM(V21:V23)</f>
        <v>0</v>
      </c>
    </row>
  </sheetData>
  <sheetProtection sheet="1" selectLockedCells="1"/>
  <mergeCells count="6">
    <mergeCell ref="B22:C22"/>
    <mergeCell ref="B2:H2"/>
    <mergeCell ref="B4:G4"/>
    <mergeCell ref="B18:B19"/>
    <mergeCell ref="C18:D18"/>
    <mergeCell ref="E18:F18"/>
  </mergeCells>
  <conditionalFormatting sqref="V20 B20:G20">
    <cfRule type="expression" dxfId="13" priority="3">
      <formula>$C$8=$O$7</formula>
    </cfRule>
  </conditionalFormatting>
  <conditionalFormatting sqref="C13">
    <cfRule type="expression" dxfId="12" priority="5">
      <formula>$C$12="yes"</formula>
    </cfRule>
  </conditionalFormatting>
  <conditionalFormatting sqref="B13:C13">
    <cfRule type="expression" dxfId="5" priority="6">
      <formula>$C$12=$P$8</formula>
    </cfRule>
    <cfRule type="expression" dxfId="4" priority="1">
      <formula>$C$12="Yes"</formula>
    </cfRule>
  </conditionalFormatting>
  <conditionalFormatting sqref="C9">
    <cfRule type="expression" dxfId="11" priority="8">
      <formula>$C$8=$O$8</formula>
    </cfRule>
  </conditionalFormatting>
  <dataValidations count="5">
    <dataValidation type="list" allowBlank="1" showInputMessage="1" showErrorMessage="1" sqref="C10" xr:uid="{9C5EFE52-F0F5-4F81-BE50-BD5912819A4B}">
      <formula1>$Q$6:$Q$9</formula1>
    </dataValidation>
    <dataValidation type="list" allowBlank="1" showInputMessage="1" showErrorMessage="1" sqref="C12" xr:uid="{6988CB8E-9837-4FAB-9FCF-F52128D00E60}">
      <formula1>$P$6:$P$8</formula1>
    </dataValidation>
    <dataValidation type="list" allowBlank="1" showInputMessage="1" showErrorMessage="1" sqref="C8" xr:uid="{E702F269-57D8-40C7-8626-F75222AA382C}">
      <formula1>$O$6:$O$8</formula1>
    </dataValidation>
    <dataValidation type="list" allowBlank="1" showInputMessage="1" showErrorMessage="1" sqref="C9" xr:uid="{4E280BCD-A144-4DFC-B5CD-0E1A9DBFD4F0}">
      <formula1>$O$9:$O$11</formula1>
    </dataValidation>
    <dataValidation type="list" allowBlank="1" showInputMessage="1" showErrorMessage="1" sqref="C6" xr:uid="{F78D104D-4107-4295-984A-9D96A11419D3}">
      <formula1>$O$3:$O$4</formula1>
    </dataValidation>
  </dataValidations>
  <printOptions horizontalCentered="1"/>
  <pageMargins left="0" right="0" top="0.75" bottom="0.75" header="0.3" footer="0.3"/>
  <pageSetup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859D8-604B-425E-A9C4-39A4264C2CC1}">
  <sheetPr>
    <tabColor rgb="FFFFFF00"/>
    <pageSetUpPr fitToPage="1"/>
  </sheetPr>
  <dimension ref="A1:AC26"/>
  <sheetViews>
    <sheetView showGridLines="0" zoomScaleNormal="100" workbookViewId="0">
      <selection activeCell="C6" sqref="C6"/>
    </sheetView>
  </sheetViews>
  <sheetFormatPr defaultRowHeight="14.25" x14ac:dyDescent="0.2"/>
  <cols>
    <col min="1" max="1" width="3.7109375" style="25" customWidth="1"/>
    <col min="2" max="2" width="26.85546875" style="25" bestFit="1" customWidth="1"/>
    <col min="3" max="7" width="17.7109375" style="25" customWidth="1"/>
    <col min="8" max="8" width="3.7109375" style="25" customWidth="1"/>
    <col min="9" max="13" width="9.140625" style="25" customWidth="1"/>
    <col min="14" max="16" width="9.140625" style="25" hidden="1" customWidth="1"/>
    <col min="17" max="17" width="14.7109375" style="25" hidden="1" customWidth="1"/>
    <col min="18" max="18" width="10.5703125" style="25" hidden="1" customWidth="1"/>
    <col min="19" max="20" width="9.140625" style="25" hidden="1" customWidth="1"/>
    <col min="21" max="21" width="13.140625" style="25" hidden="1" customWidth="1"/>
    <col min="22" max="22" width="11.5703125" style="25" hidden="1" customWidth="1"/>
    <col min="23" max="23" width="9.140625" style="25" hidden="1" customWidth="1"/>
    <col min="24" max="24" width="9.85546875" style="25" hidden="1" customWidth="1"/>
    <col min="25" max="26" width="9.140625" style="25" hidden="1" customWidth="1"/>
    <col min="27" max="35" width="9.140625" style="25" customWidth="1"/>
    <col min="36" max="16384" width="9.140625" style="25"/>
  </cols>
  <sheetData>
    <row r="1" spans="1:23" x14ac:dyDescent="0.2">
      <c r="A1" s="47" t="s">
        <v>25</v>
      </c>
    </row>
    <row r="2" spans="1:23" ht="24.75" x14ac:dyDescent="0.5">
      <c r="B2" s="23" t="s">
        <v>0</v>
      </c>
      <c r="C2" s="23"/>
      <c r="D2" s="23"/>
      <c r="E2" s="23"/>
      <c r="F2" s="23"/>
      <c r="G2" s="23"/>
      <c r="H2" s="24"/>
    </row>
    <row r="3" spans="1:23" ht="15" x14ac:dyDescent="0.25">
      <c r="B3" s="26"/>
      <c r="C3" s="26"/>
      <c r="D3" s="26"/>
      <c r="E3" s="26"/>
      <c r="F3" s="26"/>
      <c r="G3" s="26"/>
      <c r="H3" s="26"/>
      <c r="O3" s="25" t="s">
        <v>1</v>
      </c>
      <c r="Q3" s="25">
        <f>IF(C7&gt;260000,260000,IF(C7&lt;180000,180000,C7))</f>
        <v>180000</v>
      </c>
    </row>
    <row r="4" spans="1:23" ht="15" x14ac:dyDescent="0.25">
      <c r="B4" s="27" t="s">
        <v>2</v>
      </c>
      <c r="C4" s="27"/>
      <c r="D4" s="27"/>
      <c r="E4" s="27"/>
      <c r="F4" s="27"/>
      <c r="G4" s="27"/>
      <c r="O4" s="25" t="s">
        <v>3</v>
      </c>
    </row>
    <row r="6" spans="1:23" s="29" customFormat="1" ht="24.95" customHeight="1" x14ac:dyDescent="0.25">
      <c r="B6" s="28" t="s">
        <v>4</v>
      </c>
      <c r="C6" s="5"/>
    </row>
    <row r="7" spans="1:23" s="29" customFormat="1" ht="24.95" customHeight="1" x14ac:dyDescent="0.25">
      <c r="B7" s="28" t="str">
        <f>IF(C6=O3, "AY Salary", "FY Salary")</f>
        <v>FY Salary</v>
      </c>
      <c r="C7" s="7">
        <v>0</v>
      </c>
      <c r="O7" s="29" t="s">
        <v>5</v>
      </c>
      <c r="P7" s="29" t="s">
        <v>6</v>
      </c>
      <c r="Q7" s="29">
        <v>1</v>
      </c>
    </row>
    <row r="8" spans="1:23" s="29" customFormat="1" ht="24.95" customHeight="1" x14ac:dyDescent="0.25">
      <c r="B8" s="28" t="s">
        <v>7</v>
      </c>
      <c r="C8" s="5"/>
      <c r="O8" s="29" t="s">
        <v>8</v>
      </c>
      <c r="P8" s="29" t="s">
        <v>9</v>
      </c>
      <c r="Q8" s="29">
        <v>2</v>
      </c>
    </row>
    <row r="9" spans="1:23" s="29" customFormat="1" ht="24.95" customHeight="1" x14ac:dyDescent="0.25">
      <c r="B9" s="28" t="str">
        <f>IF(C8=O8,"Course Developed By"," ")</f>
        <v xml:space="preserve"> </v>
      </c>
      <c r="C9" s="8"/>
      <c r="Q9" s="29">
        <v>3</v>
      </c>
    </row>
    <row r="10" spans="1:23" s="29" customFormat="1" ht="24.95" customHeight="1" x14ac:dyDescent="0.25">
      <c r="B10" s="28" t="s">
        <v>11</v>
      </c>
      <c r="C10" s="5"/>
      <c r="O10" s="29" t="s">
        <v>10</v>
      </c>
    </row>
    <row r="11" spans="1:23" s="29" customFormat="1" ht="24.95" customHeight="1" x14ac:dyDescent="0.25">
      <c r="B11" s="28" t="s">
        <v>12</v>
      </c>
      <c r="C11" s="9"/>
      <c r="O11" s="29" t="s">
        <v>13</v>
      </c>
    </row>
    <row r="12" spans="1:23" s="29" customFormat="1" ht="24.95" customHeight="1" x14ac:dyDescent="0.25">
      <c r="B12" s="28" t="s">
        <v>14</v>
      </c>
      <c r="C12" s="5"/>
    </row>
    <row r="13" spans="1:23" s="29" customFormat="1" ht="24.95" customHeight="1" x14ac:dyDescent="0.25">
      <c r="B13" s="45" t="str">
        <f>IF(C12=P7,"Total Number of instructors"," ")</f>
        <v xml:space="preserve"> </v>
      </c>
      <c r="C13" s="46"/>
    </row>
    <row r="14" spans="1:23" s="29" customFormat="1" ht="24.95" customHeight="1" x14ac:dyDescent="0.25">
      <c r="Q14" s="29" t="s">
        <v>15</v>
      </c>
      <c r="R14" s="29">
        <f>IF(C8=O7,0,IF(C9=P7,C10*2,0))</f>
        <v>0</v>
      </c>
      <c r="S14" s="29">
        <f>R14/$V$20</f>
        <v>0</v>
      </c>
      <c r="U14" s="29" t="s">
        <v>5</v>
      </c>
      <c r="V14" s="29">
        <f>C10*7</f>
        <v>0</v>
      </c>
    </row>
    <row r="15" spans="1:23" s="29" customFormat="1" x14ac:dyDescent="0.25">
      <c r="Q15" s="29" t="s">
        <v>16</v>
      </c>
      <c r="R15" s="29">
        <f>IF(C12=P7,2/C13,2)</f>
        <v>2</v>
      </c>
      <c r="S15" s="29">
        <f>R15/$V$20</f>
        <v>2.6666666666666666E-3</v>
      </c>
      <c r="U15" s="29" t="s">
        <v>8</v>
      </c>
      <c r="V15" s="29">
        <f>7*C10</f>
        <v>0</v>
      </c>
      <c r="W15" s="29">
        <f>IF(C8=O8,IF(C11&gt;40,C10*(C11-40)*67,0),0)</f>
        <v>0</v>
      </c>
    </row>
    <row r="16" spans="1:23" s="29" customFormat="1" x14ac:dyDescent="0.25">
      <c r="Q16" s="29" t="s">
        <v>17</v>
      </c>
      <c r="R16" s="29">
        <f>IF(C8=O7,V14,V15)</f>
        <v>0</v>
      </c>
      <c r="S16" s="29">
        <f>R16</f>
        <v>0</v>
      </c>
    </row>
    <row r="17" spans="1:26" s="29" customFormat="1" x14ac:dyDescent="0.25">
      <c r="Q17" s="29" t="s">
        <v>18</v>
      </c>
      <c r="R17" s="29" t="e">
        <f>IF(C12="no",R16/1,R16/C13)</f>
        <v>#DIV/0!</v>
      </c>
      <c r="S17" s="29" t="e">
        <f>R17/$V$20</f>
        <v>#DIV/0!</v>
      </c>
      <c r="V17" s="11" t="e">
        <f>V16/V15</f>
        <v>#DIV/0!</v>
      </c>
    </row>
    <row r="18" spans="1:26" s="29" customFormat="1" ht="15" x14ac:dyDescent="0.25">
      <c r="A18" s="30"/>
      <c r="B18" s="31" t="s">
        <v>19</v>
      </c>
      <c r="C18" s="32" t="str">
        <f>IF($C$8=$O$7,"Delivery","Delivery up to 70")</f>
        <v>Delivery up to 70</v>
      </c>
      <c r="D18" s="33"/>
      <c r="E18" s="32" t="str">
        <f>IF($C$8=$O$7," ","Delivery over 70")</f>
        <v>Delivery over 70</v>
      </c>
      <c r="F18" s="33"/>
      <c r="G18" s="34" t="s">
        <v>20</v>
      </c>
      <c r="Q18" s="29" t="s">
        <v>21</v>
      </c>
      <c r="R18" s="29" t="e">
        <f>IF(C9=O11,R17*2/3,R17)</f>
        <v>#DIV/0!</v>
      </c>
    </row>
    <row r="19" spans="1:26" s="30" customFormat="1" ht="18" customHeight="1" x14ac:dyDescent="0.25">
      <c r="B19" s="35"/>
      <c r="C19" s="36" t="s">
        <v>22</v>
      </c>
      <c r="D19" s="37" t="s">
        <v>23</v>
      </c>
      <c r="E19" s="36" t="str">
        <f>IF($C$8=$O$7," ","Per Student CH")</f>
        <v>Per Student CH</v>
      </c>
      <c r="F19" s="36" t="str">
        <f>IF($C$8=$O$7," ","Payment")</f>
        <v>Payment</v>
      </c>
      <c r="G19" s="37" t="s">
        <v>23</v>
      </c>
      <c r="S19" s="38"/>
    </row>
    <row r="20" spans="1:26" s="30" customFormat="1" ht="18" customHeight="1" x14ac:dyDescent="0.25">
      <c r="A20" s="29"/>
      <c r="B20" s="66">
        <f>IF(C8=O7,V20,V26)</f>
        <v>0</v>
      </c>
      <c r="C20" s="12"/>
      <c r="D20" s="13">
        <f>B20*C20</f>
        <v>0</v>
      </c>
      <c r="E20" s="13" t="str">
        <f>IF($C$8=$O$7," ","$75")</f>
        <v>$75</v>
      </c>
      <c r="F20" s="13">
        <f>IF($C$8=$O$7,0,C10*V24)</f>
        <v>0</v>
      </c>
      <c r="G20" s="14">
        <f>D20+F20</f>
        <v>0</v>
      </c>
      <c r="V20" s="15">
        <f>IF(C6=O3,Q3/180,Q3/240)</f>
        <v>750</v>
      </c>
      <c r="X20" s="39">
        <f>V20*0.3/35</f>
        <v>6.4285714285714288</v>
      </c>
      <c r="Y20" s="30">
        <v>225000</v>
      </c>
    </row>
    <row r="21" spans="1:26" s="29" customFormat="1" ht="30" customHeight="1" x14ac:dyDescent="0.2">
      <c r="A21" s="25"/>
      <c r="B21" s="25"/>
      <c r="C21" s="25"/>
      <c r="D21" s="25"/>
      <c r="E21" s="25"/>
      <c r="F21" s="25"/>
      <c r="G21" s="40"/>
      <c r="H21" s="41"/>
      <c r="I21" s="25"/>
      <c r="J21" s="25"/>
      <c r="K21" s="25"/>
      <c r="L21" s="25"/>
      <c r="M21" s="25"/>
      <c r="T21" s="29">
        <v>15</v>
      </c>
      <c r="U21" s="29">
        <f>IF($C$11&gt;T21,T21,$C$11)</f>
        <v>0</v>
      </c>
      <c r="V21" s="42">
        <f>$V$20*0.4/15*U21</f>
        <v>0</v>
      </c>
      <c r="X21" s="29">
        <f>0.3/35</f>
        <v>8.5714285714285719E-3</v>
      </c>
      <c r="Y21" s="29">
        <f>Y20/180</f>
        <v>1250</v>
      </c>
      <c r="Z21" s="29">
        <f>Y21*X21</f>
        <v>10.714285714285715</v>
      </c>
    </row>
    <row r="22" spans="1:26" ht="30" customHeight="1" x14ac:dyDescent="0.25">
      <c r="B22" s="44" t="s">
        <v>24</v>
      </c>
      <c r="C22" s="44"/>
      <c r="T22" s="25">
        <v>35</v>
      </c>
      <c r="U22" s="29">
        <f>IF($C$11&gt;T22,20,IF($C$11&lt;T21,0,C11-T21))</f>
        <v>0</v>
      </c>
      <c r="V22" s="42">
        <f>$V$20*0.3/20*U22</f>
        <v>0</v>
      </c>
    </row>
    <row r="23" spans="1:26" x14ac:dyDescent="0.2">
      <c r="C23" s="17"/>
      <c r="T23" s="25">
        <v>70</v>
      </c>
      <c r="U23" s="29">
        <f>IF($C$11&gt;T23,35,IF($C$11&lt;T22,0,$C$11-T22))</f>
        <v>0</v>
      </c>
      <c r="V23" s="42">
        <f>IF($V$20*0.3/35&lt;X23,X23,$V$20*0.3/35)*U23</f>
        <v>0</v>
      </c>
      <c r="X23" s="40">
        <f>75/7</f>
        <v>10.714285714285714</v>
      </c>
    </row>
    <row r="24" spans="1:26" ht="20.25" x14ac:dyDescent="0.3">
      <c r="C24" s="43"/>
      <c r="U24" s="25">
        <f>IF(C11&gt;T23,C11-T23,0)</f>
        <v>0</v>
      </c>
      <c r="V24" s="25">
        <f>U24*75</f>
        <v>0</v>
      </c>
    </row>
    <row r="25" spans="1:26" ht="5.0999999999999996" customHeight="1" x14ac:dyDescent="0.2"/>
    <row r="26" spans="1:26" x14ac:dyDescent="0.2">
      <c r="V26" s="40">
        <f>SUM(V21:V23)</f>
        <v>0</v>
      </c>
    </row>
  </sheetData>
  <sheetProtection sheet="1" selectLockedCells="1"/>
  <mergeCells count="6">
    <mergeCell ref="B22:C22"/>
    <mergeCell ref="B2:G2"/>
    <mergeCell ref="B4:G4"/>
    <mergeCell ref="B18:B19"/>
    <mergeCell ref="C18:D18"/>
    <mergeCell ref="E18:F18"/>
  </mergeCells>
  <conditionalFormatting sqref="V20 B20:G20">
    <cfRule type="expression" dxfId="10" priority="3">
      <formula>$C$8=$O$7</formula>
    </cfRule>
  </conditionalFormatting>
  <conditionalFormatting sqref="C13">
    <cfRule type="expression" dxfId="9" priority="5">
      <formula>$C$12="yes"</formula>
    </cfRule>
  </conditionalFormatting>
  <conditionalFormatting sqref="B13:C13">
    <cfRule type="expression" dxfId="8" priority="1">
      <formula>$C$12="Yes"</formula>
    </cfRule>
    <cfRule type="expression" dxfId="7" priority="13">
      <formula>$C$12=$P$8</formula>
    </cfRule>
  </conditionalFormatting>
  <conditionalFormatting sqref="C9">
    <cfRule type="expression" dxfId="6" priority="14">
      <formula>$C$8=$O$8</formula>
    </cfRule>
  </conditionalFormatting>
  <dataValidations count="5">
    <dataValidation type="list" allowBlank="1" showInputMessage="1" showErrorMessage="1" sqref="C6" xr:uid="{E4A98AFF-67C7-4961-9486-9B9962CAE4B4}">
      <formula1>$O$3:$O$4</formula1>
    </dataValidation>
    <dataValidation type="list" allowBlank="1" showInputMessage="1" showErrorMessage="1" sqref="C9" xr:uid="{6E8F30C6-12A0-46F7-91DC-32A202B21B92}">
      <formula1>$O$9:$O$11</formula1>
    </dataValidation>
    <dataValidation type="list" allowBlank="1" showInputMessage="1" showErrorMessage="1" sqref="C8" xr:uid="{DEE37A5B-DE63-49D1-85AB-E28B6E60FBE7}">
      <formula1>$O$6:$O$8</formula1>
    </dataValidation>
    <dataValidation type="list" allowBlank="1" showInputMessage="1" showErrorMessage="1" sqref="C12" xr:uid="{F2F7EB4F-EB1A-4A19-874C-F155AD2C9498}">
      <formula1>$P$6:$P$8</formula1>
    </dataValidation>
    <dataValidation type="list" allowBlank="1" showInputMessage="1" showErrorMessage="1" sqref="C10" xr:uid="{B2BC790A-B276-489E-A1E9-60C34D367617}">
      <formula1>$Q$6:$Q$9</formula1>
    </dataValidation>
  </dataValidations>
  <printOptions horizontalCentered="1"/>
  <pageMargins left="0" right="0" top="0.75" bottom="0.75" header="0.3" footer="0.3"/>
  <pageSetup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Undergrad</vt:lpstr>
      <vt:lpstr>Graduate OL</vt:lpstr>
      <vt:lpstr>Grad Inload over 70</vt:lpstr>
      <vt:lpstr>'Grad Inload over 70'!Print_Area</vt:lpstr>
      <vt:lpstr>'Graduate OL'!Print_Area</vt:lpstr>
      <vt:lpstr>Undergrad!Print_Area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G Wilson</dc:creator>
  <cp:lastModifiedBy>Michelle L Gentry</cp:lastModifiedBy>
  <cp:lastPrinted>2026-06-09T17:37:20Z</cp:lastPrinted>
  <dcterms:created xsi:type="dcterms:W3CDTF">2026-04-06T14:31:54Z</dcterms:created>
  <dcterms:modified xsi:type="dcterms:W3CDTF">2026-06-09T18:01:46Z</dcterms:modified>
</cp:coreProperties>
</file>