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roups\BusOff\BUSINESS OFFICE OPERATIONS\INTRANET\BO - Website Details\Faculty Information\"/>
    </mc:Choice>
  </mc:AlternateContent>
  <xr:revisionPtr revIDLastSave="0" documentId="13_ncr:1_{E852DFFD-2980-409E-87D2-83050FA414E8}" xr6:coauthVersionLast="47" xr6:coauthVersionMax="47" xr10:uidLastSave="{00000000-0000-0000-0000-000000000000}"/>
  <bookViews>
    <workbookView xWindow="28680" yWindow="-120" windowWidth="29040" windowHeight="17520" xr2:uid="{C5FBFEBA-CF6C-49ED-801A-C9C399162027}"/>
  </bookViews>
  <sheets>
    <sheet name="Undergrad- LE" sheetId="9" r:id="rId1"/>
    <sheet name="Graduate OL" sheetId="10" r:id="rId2"/>
    <sheet name="Grad Online - Inload &gt;40" sheetId="11" r:id="rId3"/>
  </sheets>
  <definedNames>
    <definedName name="Payment">#REF!</definedName>
    <definedName name="PaymentOptions">#REF!</definedName>
    <definedName name="PaymentType">#REF!</definedName>
    <definedName name="_xlnm.Print_Area" localSheetId="2">'Grad Online - Inload &gt;40'!$A$1:$I$27</definedName>
    <definedName name="_xlnm.Print_Area" localSheetId="1">'Graduate OL'!$A$1:$I$29</definedName>
    <definedName name="_xlnm.Print_Area" localSheetId="0">'Undergrad- LE'!$A$1:$K$27</definedName>
    <definedName name="TypeofPayme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1" l="1"/>
  <c r="Q20" i="11"/>
  <c r="F20" i="11"/>
  <c r="H20" i="11" s="1"/>
  <c r="B20" i="11"/>
  <c r="U16" i="11" s="1"/>
  <c r="T17" i="11"/>
  <c r="E20" i="11" s="1"/>
  <c r="U15" i="11"/>
  <c r="X14" i="11"/>
  <c r="X15" i="11" s="1"/>
  <c r="X16" i="11" s="1"/>
  <c r="T14" i="11"/>
  <c r="U14" i="11" s="1"/>
  <c r="X13" i="11"/>
  <c r="T13" i="11"/>
  <c r="B13" i="11"/>
  <c r="B9" i="11"/>
  <c r="B7" i="11"/>
  <c r="S14" i="9"/>
  <c r="X15" i="10"/>
  <c r="X16" i="10" s="1"/>
  <c r="X17" i="10" s="1"/>
  <c r="B9" i="10"/>
  <c r="G20" i="11" l="1"/>
  <c r="U13" i="11"/>
  <c r="C22" i="10" l="1"/>
  <c r="C21" i="10"/>
  <c r="E20" i="9"/>
  <c r="S13" i="9"/>
  <c r="C20" i="9" s="1"/>
  <c r="B22" i="10"/>
  <c r="B21" i="10"/>
  <c r="Y15" i="10"/>
  <c r="H22" i="10" s="1"/>
  <c r="T15" i="10"/>
  <c r="X14" i="10"/>
  <c r="T14" i="10"/>
  <c r="B14" i="10"/>
  <c r="B12" i="10"/>
  <c r="B7" i="10"/>
  <c r="B13" i="9"/>
  <c r="B20" i="9"/>
  <c r="W14" i="9"/>
  <c r="S15" i="9" s="1"/>
  <c r="W13" i="9"/>
  <c r="D11" i="9"/>
  <c r="B9" i="9"/>
  <c r="B7" i="9"/>
  <c r="V3" i="9"/>
  <c r="S16" i="9" l="1"/>
  <c r="U14" i="10"/>
  <c r="U15" i="10"/>
  <c r="D21" i="10"/>
  <c r="T16" i="10"/>
  <c r="T14" i="9"/>
  <c r="F20" i="9"/>
  <c r="T15" i="9"/>
  <c r="D20" i="9"/>
  <c r="T13" i="9"/>
  <c r="T17" i="10" l="1"/>
  <c r="U16" i="10"/>
  <c r="H20" i="9"/>
  <c r="V4" i="9" s="1"/>
  <c r="J20" i="9" s="1"/>
  <c r="G20" i="9"/>
  <c r="T16" i="9"/>
  <c r="T18" i="10" l="1"/>
  <c r="E21" i="10" s="1"/>
  <c r="U17" i="10"/>
  <c r="I20" i="9"/>
  <c r="F21" i="10" l="1"/>
  <c r="G21" i="10"/>
  <c r="H21" i="10" s="1"/>
  <c r="H23" i="10" s="1"/>
  <c r="G23" i="10" s="1"/>
</calcChain>
</file>

<file path=xl/sharedStrings.xml><?xml version="1.0" encoding="utf-8"?>
<sst xmlns="http://schemas.openxmlformats.org/spreadsheetml/2006/main" count="111" uniqueCount="31">
  <si>
    <t xml:space="preserve"> Undergrad Teaching Instruction Calculator</t>
  </si>
  <si>
    <t>Please complete all Green Boxes at the top.  This will allow the bottom to auto-populate.</t>
  </si>
  <si>
    <t>AY or FY Salary</t>
  </si>
  <si>
    <t>AY (9 Month)</t>
  </si>
  <si>
    <t>Mode</t>
  </si>
  <si>
    <t>Credit Hours</t>
  </si>
  <si>
    <t>Students</t>
  </si>
  <si>
    <t>Team Teaching</t>
  </si>
  <si>
    <t>Daily Rate</t>
  </si>
  <si>
    <t>Refresh</t>
  </si>
  <si>
    <t>Base</t>
  </si>
  <si>
    <t>Delivery</t>
  </si>
  <si>
    <t>Total Payment</t>
  </si>
  <si>
    <t>Days</t>
  </si>
  <si>
    <t>Payment</t>
  </si>
  <si>
    <t>FY (12 Month)</t>
  </si>
  <si>
    <t>Residential</t>
  </si>
  <si>
    <t>Online</t>
  </si>
  <si>
    <t>Yes</t>
  </si>
  <si>
    <t>No</t>
  </si>
  <si>
    <t>Course Information:</t>
  </si>
  <si>
    <t>Me</t>
  </si>
  <si>
    <t>Other Instructor</t>
  </si>
  <si>
    <t>Grad Teaching Instruction Calculator</t>
  </si>
  <si>
    <t xml:space="preserve"> Grad Teaching Instruction Calculator - Online - Inload w/ over 40 students</t>
  </si>
  <si>
    <t>Total</t>
  </si>
  <si>
    <t>Team</t>
  </si>
  <si>
    <t>Total Students</t>
  </si>
  <si>
    <t>OMBA</t>
  </si>
  <si>
    <t>Non Develop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</si>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</sst>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6"/>
      <color theme="1"/>
      <name val="Arial"/>
      <family val="2"/>
    </font>
    <font>
      <b/>
      <sz val="14"/>
      <color rgb="FFFF0000"/>
      <name val="Arial"/>
      <family val="2"/>
    </font>
    <font>
      <b/>
      <i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5" fillId="3" borderId="19" xfId="1" applyNumberFormat="1" applyFont="1" applyFill="1" applyBorder="1" applyAlignment="1" applyProtection="1">
      <alignment horizontal="center" vertical="center"/>
      <protection locked="0"/>
    </xf>
    <xf numFmtId="9" fontId="3" fillId="0" borderId="0" xfId="3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16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4" fontId="3" fillId="5" borderId="12" xfId="1" applyFont="1" applyFill="1" applyBorder="1" applyAlignment="1" applyProtection="1">
      <alignment horizontal="center" vertical="center"/>
    </xf>
    <xf numFmtId="0" fontId="3" fillId="0" borderId="11" xfId="1" applyNumberFormat="1" applyFont="1" applyBorder="1" applyAlignment="1" applyProtection="1">
      <alignment horizontal="center" vertical="center"/>
    </xf>
    <xf numFmtId="44" fontId="3" fillId="0" borderId="10" xfId="1" applyFont="1" applyBorder="1" applyAlignment="1" applyProtection="1">
      <alignment horizontal="center" vertical="center"/>
    </xf>
    <xf numFmtId="44" fontId="3" fillId="0" borderId="10" xfId="1" applyFont="1" applyFill="1" applyBorder="1" applyAlignment="1" applyProtection="1">
      <alignment horizontal="center" vertical="center"/>
    </xf>
    <xf numFmtId="0" fontId="3" fillId="0" borderId="11" xfId="1" applyNumberFormat="1" applyFont="1" applyFill="1" applyBorder="1" applyAlignment="1" applyProtection="1">
      <alignment horizontal="center" vertical="center"/>
    </xf>
    <xf numFmtId="44" fontId="4" fillId="2" borderId="10" xfId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2" borderId="0" xfId="0" applyFont="1" applyFill="1" applyProtection="1"/>
    <xf numFmtId="0" fontId="3" fillId="0" borderId="3" xfId="0" applyFont="1" applyBorder="1" applyAlignment="1" applyProtection="1">
      <alignment vertical="center"/>
    </xf>
    <xf numFmtId="0" fontId="10" fillId="0" borderId="0" xfId="0" applyFont="1" applyProtection="1"/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0" fontId="6" fillId="4" borderId="11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3" fillId="0" borderId="7" xfId="0" applyFont="1" applyBorder="1" applyProtection="1"/>
    <xf numFmtId="44" fontId="5" fillId="5" borderId="12" xfId="1" applyFont="1" applyFill="1" applyBorder="1" applyAlignment="1" applyProtection="1">
      <alignment horizontal="center" vertical="center"/>
    </xf>
    <xf numFmtId="0" fontId="5" fillId="0" borderId="11" xfId="1" applyNumberFormat="1" applyFont="1" applyBorder="1" applyAlignment="1" applyProtection="1">
      <alignment horizontal="center" vertical="center"/>
    </xf>
    <xf numFmtId="44" fontId="5" fillId="0" borderId="10" xfId="1" applyFont="1" applyBorder="1" applyAlignment="1" applyProtection="1">
      <alignment horizontal="center" vertical="center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9" fontId="3" fillId="0" borderId="0" xfId="3" applyFont="1" applyAlignment="1" applyProtection="1">
      <alignment vertical="center"/>
    </xf>
    <xf numFmtId="44" fontId="3" fillId="5" borderId="16" xfId="1" applyFont="1" applyFill="1" applyBorder="1" applyAlignment="1" applyProtection="1">
      <alignment horizontal="center" vertical="center"/>
    </xf>
    <xf numFmtId="0" fontId="3" fillId="0" borderId="3" xfId="1" applyNumberFormat="1" applyFont="1" applyBorder="1" applyAlignment="1" applyProtection="1">
      <alignment horizontal="center" vertical="center"/>
    </xf>
    <xf numFmtId="44" fontId="3" fillId="0" borderId="4" xfId="1" applyFont="1" applyBorder="1" applyAlignment="1" applyProtection="1">
      <alignment horizontal="center" vertical="center"/>
    </xf>
    <xf numFmtId="2" fontId="3" fillId="0" borderId="3" xfId="1" applyNumberFormat="1" applyFont="1" applyBorder="1" applyAlignment="1" applyProtection="1">
      <alignment horizontal="center" vertical="center"/>
    </xf>
    <xf numFmtId="2" fontId="3" fillId="0" borderId="20" xfId="1" applyNumberFormat="1" applyFont="1" applyBorder="1" applyAlignment="1" applyProtection="1">
      <alignment horizontal="center" vertical="center"/>
    </xf>
    <xf numFmtId="44" fontId="3" fillId="2" borderId="4" xfId="1" applyFont="1" applyFill="1" applyBorder="1" applyAlignment="1" applyProtection="1">
      <alignment horizontal="center" vertical="center"/>
    </xf>
    <xf numFmtId="44" fontId="9" fillId="5" borderId="22" xfId="1" applyFont="1" applyFill="1" applyBorder="1" applyAlignment="1" applyProtection="1">
      <alignment vertical="center"/>
    </xf>
    <xf numFmtId="44" fontId="3" fillId="2" borderId="24" xfId="1" applyFont="1" applyFill="1" applyBorder="1" applyAlignment="1" applyProtection="1">
      <alignment horizontal="center" vertical="center"/>
    </xf>
    <xf numFmtId="2" fontId="7" fillId="2" borderId="11" xfId="1" applyNumberFormat="1" applyFont="1" applyFill="1" applyBorder="1" applyAlignment="1" applyProtection="1">
      <alignment horizontal="center" vertical="center"/>
    </xf>
    <xf numFmtId="44" fontId="7" fillId="2" borderId="10" xfId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19" xfId="0" applyFont="1" applyBorder="1" applyAlignment="1" applyProtection="1">
      <alignment vertical="center"/>
    </xf>
    <xf numFmtId="167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0" fontId="6" fillId="4" borderId="11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44" fontId="7" fillId="2" borderId="13" xfId="0" applyNumberFormat="1" applyFont="1" applyFill="1" applyBorder="1" applyAlignment="1" applyProtection="1">
      <alignment vertical="center"/>
    </xf>
    <xf numFmtId="164" fontId="3" fillId="0" borderId="0" xfId="1" applyNumberFormat="1" applyFont="1" applyProtection="1"/>
    <xf numFmtId="0" fontId="3" fillId="0" borderId="17" xfId="0" applyFont="1" applyBorder="1" applyAlignment="1" applyProtection="1">
      <alignment horizontal="center" wrapText="1"/>
    </xf>
    <xf numFmtId="44" fontId="3" fillId="0" borderId="0" xfId="0" applyNumberFormat="1" applyFont="1" applyProtection="1"/>
    <xf numFmtId="0" fontId="8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left"/>
    </xf>
    <xf numFmtId="0" fontId="3" fillId="0" borderId="7" xfId="0" applyFont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44" fontId="9" fillId="5" borderId="22" xfId="1" applyFont="1" applyFill="1" applyBorder="1" applyAlignment="1" applyProtection="1">
      <alignment horizontal="right" vertical="center"/>
    </xf>
    <xf numFmtId="44" fontId="9" fillId="5" borderId="18" xfId="1" applyFont="1" applyFill="1" applyBorder="1" applyAlignment="1" applyProtection="1">
      <alignment horizontal="right" vertical="center"/>
    </xf>
    <xf numFmtId="44" fontId="9" fillId="5" borderId="23" xfId="1" applyFont="1" applyFill="1" applyBorder="1" applyAlignment="1" applyProtection="1">
      <alignment horizontal="right" vertical="center"/>
    </xf>
    <xf numFmtId="44" fontId="11" fillId="2" borderId="12" xfId="1" applyFont="1" applyFill="1" applyBorder="1" applyAlignment="1" applyProtection="1">
      <alignment horizontal="right" vertical="center"/>
    </xf>
    <xf numFmtId="44" fontId="11" fillId="2" borderId="0" xfId="1" applyFont="1" applyFill="1" applyBorder="1" applyAlignment="1" applyProtection="1">
      <alignment horizontal="right" vertical="center"/>
    </xf>
    <xf numFmtId="44" fontId="11" fillId="2" borderId="25" xfId="1" applyFont="1" applyFill="1" applyBorder="1" applyAlignment="1" applyProtection="1">
      <alignment horizontal="right" vertical="center"/>
    </xf>
    <xf numFmtId="0" fontId="4" fillId="4" borderId="16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20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</cellXfs>
  <cellStyles count="4">
    <cellStyle name="Currency" xfId="1" builtinId="4"/>
    <cellStyle name="Normal" xfId="0" builtinId="0"/>
    <cellStyle name="Normal 3" xfId="2" xr:uid="{6E2CB9E4-1B11-43FB-9F0D-EEB896CA7F8F}"/>
    <cellStyle name="Percent" xfId="3" builtinId="5"/>
  </cellStyles>
  <dxfs count="17"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border>
        <top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border>
        <left/>
        <right/>
        <top style="thin">
          <color auto="1"/>
        </top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E8D9F3"/>
      <color rgb="FFF3E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E804B-B21B-4C19-8B4B-31607831C797}">
  <sheetPr>
    <tabColor rgb="FF00B0F0"/>
    <pageSetUpPr fitToPage="1"/>
  </sheetPr>
  <dimension ref="B2:Y26"/>
  <sheetViews>
    <sheetView showGridLines="0" tabSelected="1" workbookViewId="0">
      <selection activeCell="C6" sqref="C6"/>
    </sheetView>
  </sheetViews>
  <sheetFormatPr defaultRowHeight="14.25" x14ac:dyDescent="0.2"/>
  <cols>
    <col min="1" max="1" width="3.7109375" style="54" customWidth="1"/>
    <col min="2" max="2" width="26.7109375" style="54" customWidth="1"/>
    <col min="3" max="3" width="16.7109375" style="60" customWidth="1"/>
    <col min="4" max="9" width="16.7109375" style="54" customWidth="1"/>
    <col min="10" max="10" width="26.7109375" style="54" customWidth="1"/>
    <col min="11" max="11" width="3.7109375" style="54" customWidth="1"/>
    <col min="12" max="15" width="9.140625" style="54" customWidth="1"/>
    <col min="16" max="17" width="9.140625" style="54" hidden="1" customWidth="1"/>
    <col min="18" max="18" width="11.28515625" style="54" hidden="1" customWidth="1"/>
    <col min="19" max="19" width="10.5703125" style="54" hidden="1" customWidth="1"/>
    <col min="20" max="21" width="9.140625" style="54" hidden="1" customWidth="1"/>
    <col min="22" max="22" width="13.140625" style="54" hidden="1" customWidth="1"/>
    <col min="23" max="25" width="9.140625" style="54" hidden="1" customWidth="1"/>
    <col min="26" max="39" width="9.140625" style="54" customWidth="1"/>
    <col min="40" max="16384" width="9.140625" style="54"/>
  </cols>
  <sheetData>
    <row r="2" spans="2:23" ht="24.75" x14ac:dyDescent="0.5">
      <c r="B2" s="69" t="s">
        <v>0</v>
      </c>
      <c r="C2" s="69"/>
      <c r="D2" s="69"/>
      <c r="E2" s="69"/>
      <c r="F2" s="69"/>
      <c r="G2" s="69"/>
      <c r="H2" s="69"/>
      <c r="I2" s="69"/>
    </row>
    <row r="3" spans="2:23" ht="15" x14ac:dyDescent="0.25">
      <c r="B3" s="56"/>
      <c r="C3" s="56"/>
      <c r="D3" s="56"/>
      <c r="E3" s="56"/>
      <c r="F3" s="56"/>
      <c r="G3" s="56"/>
      <c r="H3" s="56"/>
      <c r="I3" s="56"/>
      <c r="P3" s="54" t="s">
        <v>3</v>
      </c>
      <c r="V3" s="65">
        <f>C10*C11*275</f>
        <v>0</v>
      </c>
    </row>
    <row r="4" spans="2:23" ht="15" x14ac:dyDescent="0.25">
      <c r="B4" s="70" t="s">
        <v>1</v>
      </c>
      <c r="C4" s="70"/>
      <c r="D4" s="70"/>
      <c r="E4" s="70"/>
      <c r="F4" s="70"/>
      <c r="G4" s="70"/>
      <c r="P4" s="54" t="s">
        <v>15</v>
      </c>
      <c r="V4" s="65">
        <f>D20+F20+H20</f>
        <v>0</v>
      </c>
    </row>
    <row r="6" spans="2:23" s="47" customFormat="1" ht="24.95" customHeight="1" x14ac:dyDescent="0.25">
      <c r="B6" s="57" t="s">
        <v>2</v>
      </c>
      <c r="C6" s="33" t="s">
        <v>3</v>
      </c>
    </row>
    <row r="7" spans="2:23" s="47" customFormat="1" ht="24.95" customHeight="1" x14ac:dyDescent="0.25">
      <c r="B7" s="57" t="str">
        <f>IF(C6=P3, "AY Salary", "FY Salary")</f>
        <v>AY Salary</v>
      </c>
      <c r="C7" s="1">
        <v>0</v>
      </c>
      <c r="P7" s="47" t="s">
        <v>16</v>
      </c>
      <c r="Q7" s="47" t="s">
        <v>18</v>
      </c>
      <c r="R7" s="47">
        <v>1</v>
      </c>
    </row>
    <row r="8" spans="2:23" s="47" customFormat="1" ht="24.95" customHeight="1" x14ac:dyDescent="0.25">
      <c r="B8" s="57" t="s">
        <v>4</v>
      </c>
      <c r="C8" s="33"/>
      <c r="P8" s="47" t="s">
        <v>17</v>
      </c>
      <c r="Q8" s="47" t="s">
        <v>19</v>
      </c>
      <c r="R8" s="47">
        <v>2</v>
      </c>
    </row>
    <row r="9" spans="2:23" s="47" customFormat="1" ht="24.95" customHeight="1" x14ac:dyDescent="0.25">
      <c r="B9" s="57" t="str">
        <f>IF(C8=P8,"Refresh Performed"," ")</f>
        <v xml:space="preserve"> </v>
      </c>
      <c r="C9" s="34"/>
      <c r="R9" s="47">
        <v>3</v>
      </c>
    </row>
    <row r="10" spans="2:23" s="47" customFormat="1" ht="24.95" customHeight="1" x14ac:dyDescent="0.25">
      <c r="B10" s="57" t="s">
        <v>5</v>
      </c>
      <c r="C10" s="33"/>
    </row>
    <row r="11" spans="2:23" s="47" customFormat="1" ht="24.95" customHeight="1" x14ac:dyDescent="0.25">
      <c r="B11" s="57" t="s">
        <v>6</v>
      </c>
      <c r="C11" s="33"/>
      <c r="D11" s="55" t="str">
        <f>IF(C11&lt;26,"  **This course is subject to the Low Enrollment Compensation clause in KRAN policy 20-1"," ")</f>
        <v xml:space="preserve">  **This course is subject to the Low Enrollment Compensation clause in KRAN policy 20-1</v>
      </c>
    </row>
    <row r="12" spans="2:23" s="47" customFormat="1" ht="24.95" customHeight="1" x14ac:dyDescent="0.25">
      <c r="B12" s="57" t="s">
        <v>7</v>
      </c>
      <c r="C12" s="33" t="s">
        <v>19</v>
      </c>
    </row>
    <row r="13" spans="2:23" s="47" customFormat="1" ht="24.95" customHeight="1" x14ac:dyDescent="0.25">
      <c r="B13" s="57" t="str">
        <f>IF(C12=Q7,"Total Number of instructors"," ")</f>
        <v xml:space="preserve"> </v>
      </c>
      <c r="C13" s="35"/>
      <c r="D13" s="59"/>
      <c r="R13" s="47" t="s">
        <v>9</v>
      </c>
      <c r="S13" s="47">
        <f>IF(C8=P7,0,IF(C9=Q7,IF(C12=Q7,C10*2/C13,C10*2),0))</f>
        <v>0</v>
      </c>
      <c r="T13" s="47" t="e">
        <f>S13/$B$20</f>
        <v>#DIV/0!</v>
      </c>
      <c r="V13" s="47" t="s">
        <v>16</v>
      </c>
      <c r="W13" s="47">
        <f>C10*6.5</f>
        <v>0</v>
      </c>
    </row>
    <row r="14" spans="2:23" x14ac:dyDescent="0.2">
      <c r="R14" s="54" t="s">
        <v>10</v>
      </c>
      <c r="S14" s="54">
        <f>IF(C12=Q7,2/C13,2)</f>
        <v>2</v>
      </c>
      <c r="T14" s="54" t="e">
        <f>S14/$B$20</f>
        <v>#DIV/0!</v>
      </c>
      <c r="V14" s="54" t="s">
        <v>17</v>
      </c>
      <c r="W14" s="54">
        <f>IF(C11&lt;26,2*C10,IF(C11&lt;126,((3.5*C10)+((0.03*C10)*(C11-25))),(6.5*C10+(0.01*(C11-125)*C10))))</f>
        <v>0</v>
      </c>
    </row>
    <row r="15" spans="2:23" x14ac:dyDescent="0.2">
      <c r="R15" s="54" t="s">
        <v>11</v>
      </c>
      <c r="S15" s="54">
        <f>IF(C8=P7,W13,W14)</f>
        <v>0</v>
      </c>
      <c r="T15" s="54">
        <f>S15</f>
        <v>0</v>
      </c>
    </row>
    <row r="16" spans="2:23" x14ac:dyDescent="0.2">
      <c r="R16" s="54" t="s">
        <v>26</v>
      </c>
      <c r="S16" s="54" t="e">
        <f>S15/C13</f>
        <v>#DIV/0!</v>
      </c>
      <c r="T16" s="54" t="e">
        <f>S16/$B$20</f>
        <v>#DIV/0!</v>
      </c>
    </row>
    <row r="17" spans="2:22" ht="15" thickBot="1" x14ac:dyDescent="0.25">
      <c r="H17" s="27"/>
      <c r="I17" s="71"/>
      <c r="J17" s="71"/>
    </row>
    <row r="18" spans="2:22" s="60" customFormat="1" ht="18" customHeight="1" x14ac:dyDescent="0.2">
      <c r="B18" s="72" t="s">
        <v>8</v>
      </c>
      <c r="C18" s="74" t="s">
        <v>9</v>
      </c>
      <c r="D18" s="75"/>
      <c r="E18" s="72" t="s">
        <v>10</v>
      </c>
      <c r="F18" s="75"/>
      <c r="G18" s="72" t="s">
        <v>11</v>
      </c>
      <c r="H18" s="75"/>
      <c r="I18" s="72" t="s">
        <v>12</v>
      </c>
      <c r="J18" s="75"/>
      <c r="V18" s="61"/>
    </row>
    <row r="19" spans="2:22" s="60" customFormat="1" ht="18" customHeight="1" thickBot="1" x14ac:dyDescent="0.25">
      <c r="B19" s="73"/>
      <c r="C19" s="26" t="s">
        <v>13</v>
      </c>
      <c r="D19" s="63" t="s">
        <v>14</v>
      </c>
      <c r="E19" s="62" t="s">
        <v>13</v>
      </c>
      <c r="F19" s="63" t="s">
        <v>14</v>
      </c>
      <c r="G19" s="62" t="s">
        <v>13</v>
      </c>
      <c r="H19" s="63" t="s">
        <v>14</v>
      </c>
      <c r="I19" s="62" t="s">
        <v>13</v>
      </c>
      <c r="J19" s="63" t="s">
        <v>14</v>
      </c>
    </row>
    <row r="20" spans="2:22" s="47" customFormat="1" ht="30" customHeight="1" thickBot="1" x14ac:dyDescent="0.3">
      <c r="B20" s="28">
        <f>IF(C6=P3,C7/180,C7/240)</f>
        <v>0</v>
      </c>
      <c r="C20" s="29">
        <f>S13</f>
        <v>0</v>
      </c>
      <c r="D20" s="30">
        <f>C20*B20</f>
        <v>0</v>
      </c>
      <c r="E20" s="29">
        <f>S14</f>
        <v>2</v>
      </c>
      <c r="F20" s="30">
        <f>E20*B20</f>
        <v>0</v>
      </c>
      <c r="G20" s="29">
        <f>IF(C12=Q8,S15,S16)</f>
        <v>0</v>
      </c>
      <c r="H20" s="30">
        <f>IF(C12=Q8,S15*B20,S16*B20)</f>
        <v>0</v>
      </c>
      <c r="I20" s="29" t="str">
        <f>IF(C11&lt;26,IF(V4&lt;V3,(C20+E20+G20),"NA"),C20+E20+G20)</f>
        <v>NA</v>
      </c>
      <c r="J20" s="64">
        <f>IF(C11&lt;26,IF(V3&gt;V4,V4,V3),V4)</f>
        <v>0</v>
      </c>
    </row>
    <row r="21" spans="2:22" ht="15.75" customHeight="1" x14ac:dyDescent="0.2">
      <c r="I21" s="66"/>
    </row>
    <row r="23" spans="2:22" ht="15.75" x14ac:dyDescent="0.25">
      <c r="B23" s="68" t="s">
        <v>20</v>
      </c>
      <c r="C23" s="68"/>
    </row>
    <row r="24" spans="2:22" ht="5.0999999999999996" customHeight="1" x14ac:dyDescent="0.2">
      <c r="C24" s="54"/>
      <c r="J24" s="67"/>
    </row>
    <row r="25" spans="2:22" ht="20.25" x14ac:dyDescent="0.3">
      <c r="B25" s="31"/>
      <c r="C25" s="32"/>
      <c r="D25" s="31"/>
      <c r="E25" s="31"/>
      <c r="F25" s="31"/>
      <c r="G25" s="31"/>
      <c r="H25" s="31"/>
      <c r="I25" s="31"/>
      <c r="J25" s="31"/>
    </row>
    <row r="26" spans="2:22" x14ac:dyDescent="0.2">
      <c r="B26" s="31"/>
      <c r="C26" s="31"/>
      <c r="D26" s="31"/>
      <c r="E26" s="31"/>
      <c r="F26" s="31"/>
      <c r="G26" s="31"/>
      <c r="H26" s="31"/>
      <c r="I26" s="31"/>
      <c r="J26" s="31"/>
    </row>
  </sheetData>
  <sheetProtection sheet="1" objects="1" scenarios="1" selectLockedCells="1"/>
  <mergeCells count="9">
    <mergeCell ref="B23:C23"/>
    <mergeCell ref="B2:I2"/>
    <mergeCell ref="B4:G4"/>
    <mergeCell ref="I17:J17"/>
    <mergeCell ref="B18:B19"/>
    <mergeCell ref="C18:D18"/>
    <mergeCell ref="E18:F18"/>
    <mergeCell ref="G18:H18"/>
    <mergeCell ref="I18:J18"/>
  </mergeCells>
  <conditionalFormatting sqref="C13">
    <cfRule type="expression" dxfId="16" priority="3">
      <formula>$C$12="yes"</formula>
    </cfRule>
    <cfRule type="expression" dxfId="15" priority="1">
      <formula>$C$12=$Q$7</formula>
    </cfRule>
  </conditionalFormatting>
  <conditionalFormatting sqref="C9">
    <cfRule type="expression" dxfId="14" priority="4">
      <formula>$C$8=$P$8</formula>
    </cfRule>
  </conditionalFormatting>
  <conditionalFormatting sqref="B13:C13">
    <cfRule type="expression" dxfId="13" priority="2">
      <formula>$C$12="No"</formula>
    </cfRule>
  </conditionalFormatting>
  <dataValidations count="5">
    <dataValidation type="list" allowBlank="1" showInputMessage="1" showErrorMessage="1" sqref="C12" xr:uid="{121BAF5A-6B36-479D-AF1E-83247998FED3}">
      <formula1>$Q$6:$Q$8</formula1>
    </dataValidation>
    <dataValidation type="list" allowBlank="1" showInputMessage="1" showErrorMessage="1" sqref="C6" xr:uid="{999BA76A-3773-4A7B-9596-2A2E8830AD13}">
      <formula1>$P$3:$P$4</formula1>
    </dataValidation>
    <dataValidation type="list" allowBlank="1" showInputMessage="1" showErrorMessage="1" sqref="C8" xr:uid="{0F2C22FB-E395-41C0-BAAA-6B2082AD9143}">
      <formula1>$P$6:$P$8</formula1>
    </dataValidation>
    <dataValidation type="list" allowBlank="1" showInputMessage="1" showErrorMessage="1" sqref="C9" xr:uid="{7C8E20D1-DF2D-43AF-8285-3FCCEFED75FE}">
      <formula1>$Q$5:$Q$8</formula1>
    </dataValidation>
    <dataValidation type="list" allowBlank="1" showInputMessage="1" showErrorMessage="1" sqref="C10" xr:uid="{2D335448-C028-4F4E-9FA6-28F2433ADD2C}">
      <formula1>$R$6:$R$9</formula1>
    </dataValidation>
  </dataValidations>
  <printOptions horizontalCentered="1"/>
  <pageMargins left="0" right="0" top="0.75" bottom="0.75" header="0.3" footer="0.3"/>
  <pageSetup scale="57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493D-7825-46F3-ACBD-3A324B65B3F6}">
  <sheetPr>
    <tabColor rgb="FF92D050"/>
    <pageSetUpPr fitToPage="1"/>
  </sheetPr>
  <dimension ref="A2:Y28"/>
  <sheetViews>
    <sheetView showGridLines="0" zoomScaleNormal="100" workbookViewId="0">
      <selection activeCell="C6" sqref="C6"/>
    </sheetView>
  </sheetViews>
  <sheetFormatPr defaultRowHeight="14.25" x14ac:dyDescent="0.2"/>
  <cols>
    <col min="1" max="1" width="3.7109375" style="54" customWidth="1"/>
    <col min="2" max="2" width="27.7109375" style="54" customWidth="1"/>
    <col min="3" max="7" width="17.7109375" style="54" customWidth="1"/>
    <col min="8" max="8" width="27.7109375" style="54" customWidth="1"/>
    <col min="9" max="9" width="3.7109375" style="54" customWidth="1"/>
    <col min="10" max="10" width="27.7109375" style="54" customWidth="1"/>
    <col min="11" max="15" width="9.140625" style="54" customWidth="1"/>
    <col min="16" max="18" width="9.140625" style="54" hidden="1" customWidth="1"/>
    <col min="19" max="19" width="14.7109375" style="54" hidden="1" customWidth="1"/>
    <col min="20" max="20" width="10.5703125" style="54" hidden="1" customWidth="1"/>
    <col min="21" max="22" width="9.140625" style="54" hidden="1" customWidth="1"/>
    <col min="23" max="23" width="13.140625" style="54" hidden="1" customWidth="1"/>
    <col min="24" max="24" width="11" style="54" hidden="1" customWidth="1"/>
    <col min="25" max="25" width="9.140625" style="54" hidden="1" customWidth="1"/>
    <col min="26" max="37" width="9.140625" style="54" customWidth="1"/>
    <col min="38" max="16384" width="9.140625" style="54"/>
  </cols>
  <sheetData>
    <row r="2" spans="2:25" ht="24.75" x14ac:dyDescent="0.5">
      <c r="B2" s="69" t="s">
        <v>23</v>
      </c>
      <c r="C2" s="69"/>
      <c r="D2" s="69"/>
      <c r="E2" s="69"/>
      <c r="F2" s="69"/>
      <c r="G2" s="69"/>
      <c r="H2" s="69"/>
      <c r="I2" s="55"/>
      <c r="J2" s="55"/>
    </row>
    <row r="3" spans="2:25" ht="15" x14ac:dyDescent="0.25">
      <c r="B3" s="56"/>
      <c r="C3" s="56"/>
      <c r="D3" s="56"/>
      <c r="E3" s="56"/>
      <c r="F3" s="56"/>
      <c r="G3" s="56"/>
      <c r="H3" s="56"/>
      <c r="I3" s="56"/>
      <c r="J3" s="56"/>
      <c r="Q3" s="54" t="s">
        <v>3</v>
      </c>
    </row>
    <row r="4" spans="2:25" ht="15" x14ac:dyDescent="0.25">
      <c r="B4" s="70" t="s">
        <v>1</v>
      </c>
      <c r="C4" s="70"/>
      <c r="D4" s="70"/>
      <c r="E4" s="70"/>
      <c r="F4" s="70"/>
      <c r="G4" s="70"/>
      <c r="Q4" s="54" t="s">
        <v>15</v>
      </c>
    </row>
    <row r="6" spans="2:25" s="47" customFormat="1" ht="24.95" customHeight="1" x14ac:dyDescent="0.25">
      <c r="B6" s="57" t="s">
        <v>2</v>
      </c>
      <c r="C6" s="33" t="s">
        <v>3</v>
      </c>
    </row>
    <row r="7" spans="2:25" s="47" customFormat="1" ht="24.95" customHeight="1" x14ac:dyDescent="0.25">
      <c r="B7" s="57" t="str">
        <f>IF(C6=Q3, "AY Salary", "FY Salary")</f>
        <v>AY Salary</v>
      </c>
      <c r="C7" s="1">
        <v>0</v>
      </c>
      <c r="Q7" s="47" t="s">
        <v>16</v>
      </c>
      <c r="R7" s="47" t="s">
        <v>18</v>
      </c>
      <c r="S7" s="47">
        <v>1</v>
      </c>
    </row>
    <row r="8" spans="2:25" s="47" customFormat="1" ht="24.95" customHeight="1" x14ac:dyDescent="0.25">
      <c r="B8" s="57" t="s">
        <v>4</v>
      </c>
      <c r="C8" s="33"/>
      <c r="Q8" s="47" t="s">
        <v>17</v>
      </c>
      <c r="R8" s="47" t="s">
        <v>19</v>
      </c>
      <c r="S8" s="47">
        <v>2</v>
      </c>
    </row>
    <row r="9" spans="2:25" s="47" customFormat="1" ht="24.95" customHeight="1" x14ac:dyDescent="0.25">
      <c r="B9" s="57" t="str">
        <f>IF(C8=Q8,"Course Developed By"," ")</f>
        <v xml:space="preserve"> </v>
      </c>
      <c r="C9" s="34"/>
      <c r="S9" s="47">
        <v>3</v>
      </c>
    </row>
    <row r="10" spans="2:25" s="47" customFormat="1" ht="24.95" customHeight="1" x14ac:dyDescent="0.25">
      <c r="B10" s="57" t="s">
        <v>5</v>
      </c>
      <c r="C10" s="33"/>
      <c r="Q10" s="47" t="s">
        <v>21</v>
      </c>
    </row>
    <row r="11" spans="2:25" s="47" customFormat="1" ht="24.95" customHeight="1" x14ac:dyDescent="0.25">
      <c r="B11" s="57" t="s">
        <v>27</v>
      </c>
      <c r="C11" s="33"/>
      <c r="Q11" s="47" t="s">
        <v>22</v>
      </c>
    </row>
    <row r="12" spans="2:25" s="47" customFormat="1" ht="24.95" customHeight="1" x14ac:dyDescent="0.25">
      <c r="B12" s="57" t="str">
        <f>IF(C8=Q7," ","OMBA Students")</f>
        <v>OMBA Students</v>
      </c>
      <c r="C12" s="33"/>
    </row>
    <row r="13" spans="2:25" s="47" customFormat="1" ht="24.95" customHeight="1" x14ac:dyDescent="0.25">
      <c r="B13" s="57" t="s">
        <v>7</v>
      </c>
      <c r="C13" s="33" t="s">
        <v>19</v>
      </c>
    </row>
    <row r="14" spans="2:25" s="47" customFormat="1" ht="24.95" customHeight="1" x14ac:dyDescent="0.25">
      <c r="B14" s="57" t="str">
        <f>IF(C13=R7,"Total Number of instructors"," ")</f>
        <v xml:space="preserve"> </v>
      </c>
      <c r="C14" s="34"/>
      <c r="D14" s="59"/>
      <c r="S14" s="47" t="s">
        <v>9</v>
      </c>
      <c r="T14" s="47">
        <f>IF(C8=Q7,0,IF(C9=R7,C10*2,0))</f>
        <v>0</v>
      </c>
      <c r="U14" s="47" t="e">
        <f>T14/$B$21</f>
        <v>#DIV/0!</v>
      </c>
      <c r="W14" s="47" t="s">
        <v>16</v>
      </c>
      <c r="X14" s="47">
        <f>C10*7</f>
        <v>0</v>
      </c>
    </row>
    <row r="15" spans="2:25" s="47" customFormat="1" x14ac:dyDescent="0.25">
      <c r="S15" s="47" t="s">
        <v>10</v>
      </c>
      <c r="T15" s="47">
        <f>IF(C13=R7,2/C14,2)</f>
        <v>2</v>
      </c>
      <c r="U15" s="47" t="e">
        <f>T15/$B$21</f>
        <v>#DIV/0!</v>
      </c>
      <c r="W15" s="47" t="s">
        <v>17</v>
      </c>
      <c r="X15" s="47">
        <f>7*C10</f>
        <v>0</v>
      </c>
      <c r="Y15" s="47">
        <f>IF(C8=Q8,IF(C11&gt;40,C10*(C11-40)*67,0),0)</f>
        <v>0</v>
      </c>
    </row>
    <row r="16" spans="2:25" s="47" customFormat="1" x14ac:dyDescent="0.25">
      <c r="S16" s="47" t="s">
        <v>11</v>
      </c>
      <c r="T16" s="47" t="e">
        <f>IF(C8=Q7,X14,X16)</f>
        <v>#DIV/0!</v>
      </c>
      <c r="U16" s="47" t="e">
        <f>T16</f>
        <v>#DIV/0!</v>
      </c>
      <c r="W16" s="47" t="s">
        <v>28</v>
      </c>
      <c r="X16" s="47" t="e">
        <f>X15-(X15*(0.4*(C12/C11)))</f>
        <v>#DIV/0!</v>
      </c>
    </row>
    <row r="17" spans="1:24" s="47" customFormat="1" x14ac:dyDescent="0.25">
      <c r="S17" s="47" t="s">
        <v>26</v>
      </c>
      <c r="T17" s="47" t="e">
        <f>IF(C13="no",T16/1,T16/C14)</f>
        <v>#DIV/0!</v>
      </c>
      <c r="U17" s="47" t="e">
        <f>T17/$B$21</f>
        <v>#DIV/0!</v>
      </c>
      <c r="X17" s="36" t="e">
        <f>X16/X15</f>
        <v>#DIV/0!</v>
      </c>
    </row>
    <row r="18" spans="1:24" s="47" customFormat="1" x14ac:dyDescent="0.25">
      <c r="S18" s="47" t="s">
        <v>29</v>
      </c>
      <c r="T18" s="47" t="e">
        <f>IF(C9=Q11,T17*2/3,T17)</f>
        <v>#DIV/0!</v>
      </c>
    </row>
    <row r="19" spans="1:24" s="48" customFormat="1" ht="18" customHeight="1" x14ac:dyDescent="0.25">
      <c r="B19" s="82" t="s">
        <v>8</v>
      </c>
      <c r="C19" s="73" t="s">
        <v>10</v>
      </c>
      <c r="D19" s="83"/>
      <c r="E19" s="73" t="s">
        <v>11</v>
      </c>
      <c r="F19" s="83"/>
      <c r="G19" s="84" t="s">
        <v>25</v>
      </c>
      <c r="H19" s="83"/>
      <c r="U19" s="58"/>
    </row>
    <row r="20" spans="1:24" s="48" customFormat="1" ht="18" customHeight="1" x14ac:dyDescent="0.25">
      <c r="B20" s="82"/>
      <c r="C20" s="49" t="s">
        <v>13</v>
      </c>
      <c r="D20" s="50" t="s">
        <v>14</v>
      </c>
      <c r="E20" s="49" t="s">
        <v>13</v>
      </c>
      <c r="F20" s="50" t="s">
        <v>14</v>
      </c>
      <c r="G20" s="51" t="s">
        <v>13</v>
      </c>
      <c r="H20" s="50" t="s">
        <v>14</v>
      </c>
    </row>
    <row r="21" spans="1:24" s="47" customFormat="1" ht="30" customHeight="1" x14ac:dyDescent="0.25">
      <c r="B21" s="37">
        <f>IF(C6=Q3,C7/180,C7/240)</f>
        <v>0</v>
      </c>
      <c r="C21" s="38">
        <f>IF(C8=Q7,T15,0)</f>
        <v>0</v>
      </c>
      <c r="D21" s="39">
        <f>C21*B21</f>
        <v>0</v>
      </c>
      <c r="E21" s="40" t="e">
        <f>T18</f>
        <v>#DIV/0!</v>
      </c>
      <c r="F21" s="39" t="e">
        <f>B21*E21</f>
        <v>#DIV/0!</v>
      </c>
      <c r="G21" s="41" t="e">
        <f>C21+E21</f>
        <v>#DIV/0!</v>
      </c>
      <c r="H21" s="42" t="e">
        <f>B21*G21</f>
        <v>#DIV/0!</v>
      </c>
      <c r="I21" s="52"/>
    </row>
    <row r="22" spans="1:24" ht="30" customHeight="1" x14ac:dyDescent="0.2">
      <c r="A22" s="47"/>
      <c r="B22" s="43" t="str">
        <f>IF($C$8=$Q$8,"Over 40 Enrolled"," ")</f>
        <v xml:space="preserve"> </v>
      </c>
      <c r="C22" s="76" t="str">
        <f>IF($C$8=$Q$8,"$67 / Credit Hour / Student      "," ")</f>
        <v xml:space="preserve"> </v>
      </c>
      <c r="D22" s="77"/>
      <c r="E22" s="77"/>
      <c r="F22" s="77"/>
      <c r="G22" s="78"/>
      <c r="H22" s="44">
        <f>Y15</f>
        <v>0</v>
      </c>
      <c r="I22" s="53"/>
      <c r="J22" s="53"/>
    </row>
    <row r="23" spans="1:24" ht="30" customHeight="1" thickBot="1" x14ac:dyDescent="0.25">
      <c r="B23" s="79" t="s">
        <v>25</v>
      </c>
      <c r="C23" s="80"/>
      <c r="D23" s="80"/>
      <c r="E23" s="80"/>
      <c r="F23" s="81"/>
      <c r="G23" s="45" t="e">
        <f>H23/B21</f>
        <v>#DIV/0!</v>
      </c>
      <c r="H23" s="46" t="e">
        <f>SUM(H21:H22)</f>
        <v>#DIV/0!</v>
      </c>
      <c r="I23" s="53"/>
      <c r="J23" s="53"/>
    </row>
    <row r="25" spans="1:24" ht="15.75" x14ac:dyDescent="0.25">
      <c r="B25" s="68" t="s">
        <v>20</v>
      </c>
      <c r="C25" s="68"/>
    </row>
    <row r="26" spans="1:24" ht="5.0999999999999996" customHeight="1" x14ac:dyDescent="0.2"/>
    <row r="27" spans="1:24" ht="20.25" x14ac:dyDescent="0.3">
      <c r="B27" s="31"/>
      <c r="C27" s="32"/>
      <c r="D27" s="31"/>
      <c r="E27" s="31"/>
      <c r="F27" s="31"/>
      <c r="G27" s="31"/>
      <c r="H27" s="31"/>
    </row>
    <row r="28" spans="1:24" x14ac:dyDescent="0.2">
      <c r="B28" s="31"/>
      <c r="C28" s="31"/>
      <c r="D28" s="31"/>
      <c r="E28" s="31"/>
      <c r="F28" s="31"/>
      <c r="G28" s="31"/>
      <c r="H28" s="31"/>
    </row>
  </sheetData>
  <sheetProtection sheet="1" objects="1" scenarios="1" selectLockedCells="1"/>
  <mergeCells count="9">
    <mergeCell ref="C22:G22"/>
    <mergeCell ref="B23:F23"/>
    <mergeCell ref="B25:C25"/>
    <mergeCell ref="B2:H2"/>
    <mergeCell ref="B4:G4"/>
    <mergeCell ref="B19:B20"/>
    <mergeCell ref="C19:D19"/>
    <mergeCell ref="E19:F19"/>
    <mergeCell ref="G19:H19"/>
  </mergeCells>
  <conditionalFormatting sqref="C14">
    <cfRule type="expression" dxfId="12" priority="10">
      <formula>$C$13="yes"</formula>
    </cfRule>
  </conditionalFormatting>
  <conditionalFormatting sqref="C9">
    <cfRule type="expression" dxfId="11" priority="9">
      <formula>$C$8=$Q$8</formula>
    </cfRule>
  </conditionalFormatting>
  <conditionalFormatting sqref="A23:B23 A22:C22 H22 G23:H23">
    <cfRule type="expression" dxfId="10" priority="8">
      <formula>$C$8=$Q$7</formula>
    </cfRule>
  </conditionalFormatting>
  <conditionalFormatting sqref="B21:H21">
    <cfRule type="expression" dxfId="9" priority="7">
      <formula>$C$8=$Q$7</formula>
    </cfRule>
  </conditionalFormatting>
  <conditionalFormatting sqref="B22:C22 H22">
    <cfRule type="expression" dxfId="8" priority="6">
      <formula>$C$8=$Q$8</formula>
    </cfRule>
  </conditionalFormatting>
  <conditionalFormatting sqref="B23 G23:H23">
    <cfRule type="expression" dxfId="7" priority="5">
      <formula>$C$8=$Q$8</formula>
    </cfRule>
  </conditionalFormatting>
  <conditionalFormatting sqref="B23:F23">
    <cfRule type="expression" dxfId="6" priority="4">
      <formula>$C$8=$Q$8</formula>
    </cfRule>
  </conditionalFormatting>
  <conditionalFormatting sqref="B14:C14">
    <cfRule type="expression" dxfId="5" priority="3">
      <formula>$C$13=$R$8</formula>
    </cfRule>
  </conditionalFormatting>
  <conditionalFormatting sqref="B22:H23">
    <cfRule type="expression" dxfId="4" priority="2">
      <formula>$C$8=$Q$6</formula>
    </cfRule>
  </conditionalFormatting>
  <conditionalFormatting sqref="B23:H23">
    <cfRule type="expression" dxfId="3" priority="1">
      <formula>$C$8=$Q$6</formula>
    </cfRule>
  </conditionalFormatting>
  <dataValidations count="5">
    <dataValidation type="list" allowBlank="1" showInputMessage="1" showErrorMessage="1" sqref="C6" xr:uid="{D7E6365B-AB45-4C6C-97C4-6CC4951897A7}">
      <formula1>$Q$3:$Q$4</formula1>
    </dataValidation>
    <dataValidation type="list" allowBlank="1" showInputMessage="1" showErrorMessage="1" sqref="C9" xr:uid="{171B1D12-D7EE-4CDA-94FD-CA89355342E3}">
      <formula1>$Q$9:$Q$11</formula1>
    </dataValidation>
    <dataValidation type="list" allowBlank="1" showInputMessage="1" showErrorMessage="1" sqref="C8" xr:uid="{F20B9BEE-187E-4687-BB2C-0C2E558036FB}">
      <formula1>$Q$6:$Q$8</formula1>
    </dataValidation>
    <dataValidation type="list" allowBlank="1" showInputMessage="1" showErrorMessage="1" sqref="C13" xr:uid="{E5440283-D123-4DD3-9D9F-A95626C6132B}">
      <formula1>$R$6:$R$8</formula1>
    </dataValidation>
    <dataValidation type="list" allowBlank="1" showInputMessage="1" showErrorMessage="1" sqref="C10" xr:uid="{4EB3CC72-D912-4372-A73C-E0DA94AEC8DA}">
      <formula1>$S$6:$S$9</formula1>
    </dataValidation>
  </dataValidations>
  <printOptions horizontalCentered="1"/>
  <pageMargins left="0" right="0" top="0.75" bottom="0.75" header="0.3" footer="0.3"/>
  <pageSetup scale="67" fitToHeight="0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9A94-116B-4968-8E7F-D879CFDADC82}">
  <sheetPr>
    <tabColor rgb="FFFFFF00"/>
    <pageSetUpPr fitToPage="1"/>
  </sheetPr>
  <dimension ref="A2:Y74"/>
  <sheetViews>
    <sheetView showGridLines="0" workbookViewId="0">
      <selection activeCell="C6" sqref="C6"/>
    </sheetView>
  </sheetViews>
  <sheetFormatPr defaultRowHeight="14.25" x14ac:dyDescent="0.2"/>
  <cols>
    <col min="1" max="1" width="3.7109375" style="5" customWidth="1"/>
    <col min="2" max="2" width="27.7109375" style="5" customWidth="1"/>
    <col min="3" max="7" width="17.7109375" style="5" customWidth="1"/>
    <col min="8" max="8" width="27.7109375" style="5" customWidth="1"/>
    <col min="9" max="9" width="3.7109375" style="5" customWidth="1"/>
    <col min="10" max="10" width="11.7109375" style="5" bestFit="1" customWidth="1"/>
    <col min="11" max="13" width="9.140625" style="5" customWidth="1"/>
    <col min="14" max="14" width="10.28515625" style="5" customWidth="1"/>
    <col min="15" max="15" width="9.140625" style="5" customWidth="1"/>
    <col min="16" max="18" width="9.140625" style="5" hidden="1" customWidth="1"/>
    <col min="19" max="19" width="11.28515625" style="5" hidden="1" customWidth="1"/>
    <col min="20" max="20" width="10.5703125" style="5" hidden="1" customWidth="1"/>
    <col min="21" max="22" width="9.140625" style="5" hidden="1" customWidth="1"/>
    <col min="23" max="23" width="13.140625" style="5" hidden="1" customWidth="1"/>
    <col min="24" max="25" width="9.140625" style="5" hidden="1" customWidth="1"/>
    <col min="26" max="37" width="9.140625" style="5" customWidth="1"/>
    <col min="38" max="44" width="8.7109375" style="5" customWidth="1"/>
    <col min="45" max="16384" width="9.140625" style="5"/>
  </cols>
  <sheetData>
    <row r="2" spans="2:24" ht="24.75" x14ac:dyDescent="0.5">
      <c r="B2" s="69" t="s">
        <v>24</v>
      </c>
      <c r="C2" s="69"/>
      <c r="D2" s="69"/>
      <c r="E2" s="69"/>
      <c r="F2" s="69"/>
      <c r="G2" s="69"/>
      <c r="H2" s="69"/>
      <c r="I2" s="6"/>
      <c r="J2" s="6"/>
    </row>
    <row r="3" spans="2:24" ht="15" x14ac:dyDescent="0.25">
      <c r="B3" s="7"/>
      <c r="C3" s="7"/>
      <c r="D3" s="7"/>
      <c r="E3" s="7"/>
      <c r="F3" s="7"/>
      <c r="G3" s="7"/>
      <c r="H3" s="7"/>
      <c r="I3" s="7"/>
      <c r="J3" s="7"/>
      <c r="Q3" s="5" t="s">
        <v>3</v>
      </c>
    </row>
    <row r="4" spans="2:24" ht="15" x14ac:dyDescent="0.25">
      <c r="B4" s="18" t="s">
        <v>1</v>
      </c>
      <c r="C4" s="18"/>
      <c r="D4" s="18"/>
      <c r="E4" s="18"/>
      <c r="F4" s="18"/>
      <c r="G4" s="18"/>
      <c r="Q4" s="5" t="s">
        <v>15</v>
      </c>
    </row>
    <row r="6" spans="2:24" ht="24.95" customHeight="1" x14ac:dyDescent="0.2">
      <c r="B6" s="19" t="s">
        <v>2</v>
      </c>
      <c r="C6" s="9" t="s">
        <v>3</v>
      </c>
    </row>
    <row r="7" spans="2:24" ht="24.95" customHeight="1" x14ac:dyDescent="0.2">
      <c r="B7" s="19" t="str">
        <f>IF(C6=Q3, "AY Salary", "FY Salary")</f>
        <v>AY Salary</v>
      </c>
      <c r="C7" s="8">
        <v>0</v>
      </c>
      <c r="Q7" s="5" t="s">
        <v>16</v>
      </c>
      <c r="R7" s="5" t="s">
        <v>18</v>
      </c>
      <c r="S7" s="5">
        <v>1</v>
      </c>
    </row>
    <row r="8" spans="2:24" ht="24.95" customHeight="1" x14ac:dyDescent="0.25">
      <c r="B8" s="19" t="s">
        <v>4</v>
      </c>
      <c r="C8" s="9"/>
      <c r="D8" s="20" t="str">
        <f>IF(C8=Q7,"  **Policy does not apply to residential courses"," ")</f>
        <v xml:space="preserve"> </v>
      </c>
      <c r="Q8" s="5" t="s">
        <v>17</v>
      </c>
      <c r="R8" s="5" t="s">
        <v>19</v>
      </c>
      <c r="S8" s="5">
        <v>2</v>
      </c>
    </row>
    <row r="9" spans="2:24" ht="24.95" customHeight="1" x14ac:dyDescent="0.2">
      <c r="B9" s="19" t="str">
        <f>IF(C8=Q8,"Course Developed By"," ")</f>
        <v xml:space="preserve"> </v>
      </c>
      <c r="C9" s="10"/>
      <c r="S9" s="5">
        <v>3</v>
      </c>
    </row>
    <row r="10" spans="2:24" ht="24.95" customHeight="1" x14ac:dyDescent="0.2">
      <c r="B10" s="19" t="s">
        <v>5</v>
      </c>
      <c r="C10" s="9"/>
      <c r="Q10" s="5" t="s">
        <v>21</v>
      </c>
    </row>
    <row r="11" spans="2:24" ht="24.95" customHeight="1" x14ac:dyDescent="0.2">
      <c r="B11" s="19" t="s">
        <v>6</v>
      </c>
      <c r="C11" s="9"/>
      <c r="Q11" s="5" t="s">
        <v>22</v>
      </c>
    </row>
    <row r="12" spans="2:24" ht="24.95" customHeight="1" x14ac:dyDescent="0.2">
      <c r="B12" s="19" t="s">
        <v>7</v>
      </c>
      <c r="C12" s="9" t="s">
        <v>19</v>
      </c>
    </row>
    <row r="13" spans="2:24" ht="24.95" customHeight="1" thickBot="1" x14ac:dyDescent="0.25">
      <c r="B13" s="21" t="str">
        <f>IF(C12=R7,"Total Number of instructors"," ")</f>
        <v xml:space="preserve"> </v>
      </c>
      <c r="C13" s="17"/>
      <c r="D13" s="31"/>
      <c r="S13" s="5" t="s">
        <v>9</v>
      </c>
      <c r="T13" s="5">
        <f>IF(C8=Q7,0,IF(C9=R7,C10*2,0))</f>
        <v>0</v>
      </c>
      <c r="U13" s="5" t="e">
        <f>T13/$B$20</f>
        <v>#DIV/0!</v>
      </c>
      <c r="W13" s="5" t="s">
        <v>16</v>
      </c>
      <c r="X13" s="5">
        <f>C10*7</f>
        <v>0</v>
      </c>
    </row>
    <row r="14" spans="2:24" x14ac:dyDescent="0.2">
      <c r="S14" s="5" t="s">
        <v>10</v>
      </c>
      <c r="T14" s="5">
        <f>IF(C12=R7,2/C13,2)</f>
        <v>2</v>
      </c>
      <c r="U14" s="5" t="e">
        <f>T14/$B$20</f>
        <v>#DIV/0!</v>
      </c>
      <c r="W14" s="5" t="s">
        <v>17</v>
      </c>
      <c r="X14" s="5">
        <f>IF(C11&lt;41,0,(C10)*(C11-40)/9)</f>
        <v>0</v>
      </c>
    </row>
    <row r="15" spans="2:24" x14ac:dyDescent="0.2">
      <c r="S15" s="5" t="s">
        <v>11</v>
      </c>
      <c r="T15" s="5" t="s">
        <v>30</v>
      </c>
      <c r="U15" s="5" t="str">
        <f>T15</f>
        <v>NA</v>
      </c>
      <c r="W15" s="3" t="s">
        <v>28</v>
      </c>
      <c r="X15" s="3" t="e">
        <f>X14-(X14*(0.4*(#REF!/C11)))</f>
        <v>#REF!</v>
      </c>
    </row>
    <row r="16" spans="2:24" x14ac:dyDescent="0.2">
      <c r="S16" s="5" t="s">
        <v>26</v>
      </c>
      <c r="T16" s="5" t="s">
        <v>30</v>
      </c>
      <c r="U16" s="5" t="e">
        <f>T16/$B$20</f>
        <v>#VALUE!</v>
      </c>
      <c r="W16" s="3"/>
      <c r="X16" s="2" t="e">
        <f>X15/X14</f>
        <v>#REF!</v>
      </c>
    </row>
    <row r="17" spans="1:21" ht="15" thickBot="1" x14ac:dyDescent="0.25">
      <c r="S17" s="5" t="s">
        <v>29</v>
      </c>
      <c r="T17" s="5" t="str">
        <f>IF(C9=Q11,T16*2/3,T16)</f>
        <v>NA</v>
      </c>
    </row>
    <row r="18" spans="1:21" s="22" customFormat="1" ht="18" customHeight="1" x14ac:dyDescent="0.2">
      <c r="B18" s="72" t="s">
        <v>8</v>
      </c>
      <c r="C18" s="85" t="s">
        <v>10</v>
      </c>
      <c r="D18" s="86"/>
      <c r="E18" s="72" t="s">
        <v>11</v>
      </c>
      <c r="F18" s="75"/>
      <c r="G18" s="72" t="s">
        <v>25</v>
      </c>
      <c r="H18" s="75"/>
      <c r="U18" s="23"/>
    </row>
    <row r="19" spans="1:21" s="22" customFormat="1" ht="18" customHeight="1" thickBot="1" x14ac:dyDescent="0.25">
      <c r="B19" s="73"/>
      <c r="C19" s="24" t="s">
        <v>13</v>
      </c>
      <c r="D19" s="25" t="s">
        <v>14</v>
      </c>
      <c r="E19" s="24" t="s">
        <v>13</v>
      </c>
      <c r="F19" s="25" t="s">
        <v>14</v>
      </c>
      <c r="G19" s="24" t="s">
        <v>13</v>
      </c>
      <c r="H19" s="25" t="s">
        <v>14</v>
      </c>
    </row>
    <row r="20" spans="1:21" ht="30" customHeight="1" thickBot="1" x14ac:dyDescent="0.25">
      <c r="B20" s="11">
        <f>IF(C6=Q3,C7/180,C7/240)</f>
        <v>0</v>
      </c>
      <c r="C20" s="12" t="s">
        <v>30</v>
      </c>
      <c r="D20" s="13"/>
      <c r="E20" s="12" t="str">
        <f>T17</f>
        <v>NA</v>
      </c>
      <c r="F20" s="14">
        <f>IF(C12="NO",(C11-40)*67*C10,((C11-40)*67*C10)/C13)</f>
        <v>0</v>
      </c>
      <c r="G20" s="15" t="str">
        <f>IF(C8=Q8,H20/B20,"NA")</f>
        <v>NA</v>
      </c>
      <c r="H20" s="16">
        <f>F20</f>
        <v>0</v>
      </c>
      <c r="Q20" s="5">
        <f>1/9</f>
        <v>0.1111111111111111</v>
      </c>
    </row>
    <row r="21" spans="1:21" x14ac:dyDescent="0.2">
      <c r="I21" s="4"/>
      <c r="J21" s="4"/>
    </row>
    <row r="23" spans="1:21" ht="15.75" x14ac:dyDescent="0.25">
      <c r="B23" s="68" t="s">
        <v>20</v>
      </c>
      <c r="C23" s="68"/>
    </row>
    <row r="24" spans="1:21" ht="5.0999999999999996" customHeight="1" x14ac:dyDescent="0.2"/>
    <row r="25" spans="1:21" s="54" customFormat="1" ht="20.25" x14ac:dyDescent="0.3">
      <c r="A25" s="5"/>
      <c r="B25" s="31"/>
      <c r="C25" s="32"/>
      <c r="D25" s="31"/>
      <c r="E25" s="31"/>
      <c r="F25" s="31"/>
      <c r="G25" s="31"/>
      <c r="H25" s="31"/>
    </row>
    <row r="26" spans="1:21" s="54" customFormat="1" x14ac:dyDescent="0.2">
      <c r="A26" s="5"/>
      <c r="B26" s="31"/>
      <c r="C26" s="31"/>
      <c r="D26" s="31"/>
      <c r="E26" s="31"/>
      <c r="F26" s="31"/>
      <c r="G26" s="31"/>
      <c r="H26" s="31"/>
    </row>
    <row r="27" spans="1:21" s="54" customFormat="1" x14ac:dyDescent="0.2">
      <c r="A27" s="5"/>
    </row>
    <row r="28" spans="1:21" s="54" customFormat="1" x14ac:dyDescent="0.2">
      <c r="A28" s="5"/>
    </row>
    <row r="29" spans="1:21" s="54" customFormat="1" x14ac:dyDescent="0.2">
      <c r="A29" s="5"/>
    </row>
    <row r="30" spans="1:21" s="54" customFormat="1" x14ac:dyDescent="0.2">
      <c r="A30" s="5"/>
    </row>
    <row r="31" spans="1:21" s="54" customFormat="1" x14ac:dyDescent="0.2">
      <c r="A31" s="5"/>
    </row>
    <row r="32" spans="1:21" s="54" customFormat="1" x14ac:dyDescent="0.2">
      <c r="A32" s="5"/>
    </row>
    <row r="33" s="54" customFormat="1" x14ac:dyDescent="0.2"/>
    <row r="34" s="54" customFormat="1" x14ac:dyDescent="0.2"/>
    <row r="35" s="54" customFormat="1" x14ac:dyDescent="0.2"/>
    <row r="36" s="54" customFormat="1" x14ac:dyDescent="0.2"/>
    <row r="37" s="54" customFormat="1" x14ac:dyDescent="0.2"/>
    <row r="38" s="54" customFormat="1" x14ac:dyDescent="0.2"/>
    <row r="39" s="54" customFormat="1" x14ac:dyDescent="0.2"/>
    <row r="40" s="54" customFormat="1" x14ac:dyDescent="0.2"/>
    <row r="41" s="54" customFormat="1" x14ac:dyDescent="0.2"/>
    <row r="42" s="54" customFormat="1" x14ac:dyDescent="0.2"/>
    <row r="43" s="54" customFormat="1" x14ac:dyDescent="0.2"/>
    <row r="44" s="54" customFormat="1" x14ac:dyDescent="0.2"/>
    <row r="45" s="54" customFormat="1" x14ac:dyDescent="0.2"/>
    <row r="46" s="54" customFormat="1" x14ac:dyDescent="0.2"/>
    <row r="47" s="54" customFormat="1" x14ac:dyDescent="0.2"/>
    <row r="48" s="54" customFormat="1" x14ac:dyDescent="0.2"/>
    <row r="49" s="54" customFormat="1" x14ac:dyDescent="0.2"/>
    <row r="50" s="54" customFormat="1" x14ac:dyDescent="0.2"/>
    <row r="51" s="54" customFormat="1" x14ac:dyDescent="0.2"/>
    <row r="52" s="54" customFormat="1" x14ac:dyDescent="0.2"/>
    <row r="53" s="54" customFormat="1" x14ac:dyDescent="0.2"/>
    <row r="54" s="54" customFormat="1" x14ac:dyDescent="0.2"/>
    <row r="55" s="54" customFormat="1" x14ac:dyDescent="0.2"/>
    <row r="56" s="54" customFormat="1" x14ac:dyDescent="0.2"/>
    <row r="57" s="54" customFormat="1" x14ac:dyDescent="0.2"/>
    <row r="58" s="54" customFormat="1" x14ac:dyDescent="0.2"/>
    <row r="59" s="54" customFormat="1" x14ac:dyDescent="0.2"/>
    <row r="60" s="54" customFormat="1" x14ac:dyDescent="0.2"/>
    <row r="61" s="54" customFormat="1" x14ac:dyDescent="0.2"/>
    <row r="62" s="54" customFormat="1" x14ac:dyDescent="0.2"/>
    <row r="63" s="54" customFormat="1" x14ac:dyDescent="0.2"/>
    <row r="64" s="54" customFormat="1" x14ac:dyDescent="0.2"/>
    <row r="65" s="54" customFormat="1" x14ac:dyDescent="0.2"/>
    <row r="66" s="54" customFormat="1" x14ac:dyDescent="0.2"/>
    <row r="67" s="54" customFormat="1" x14ac:dyDescent="0.2"/>
    <row r="68" s="54" customFormat="1" x14ac:dyDescent="0.2"/>
    <row r="69" s="54" customFormat="1" x14ac:dyDescent="0.2"/>
    <row r="70" s="54" customFormat="1" x14ac:dyDescent="0.2"/>
    <row r="71" s="54" customFormat="1" x14ac:dyDescent="0.2"/>
    <row r="72" s="54" customFormat="1" x14ac:dyDescent="0.2"/>
    <row r="73" s="54" customFormat="1" x14ac:dyDescent="0.2"/>
    <row r="74" s="54" customFormat="1" x14ac:dyDescent="0.2"/>
  </sheetData>
  <sheetProtection sheet="1" objects="1" scenarios="1" selectLockedCells="1"/>
  <mergeCells count="6">
    <mergeCell ref="B23:C23"/>
    <mergeCell ref="B2:H2"/>
    <mergeCell ref="B18:B19"/>
    <mergeCell ref="C18:D18"/>
    <mergeCell ref="E18:F18"/>
    <mergeCell ref="G18:H18"/>
  </mergeCells>
  <conditionalFormatting sqref="C13">
    <cfRule type="expression" dxfId="2" priority="3">
      <formula>$C$12="yes"</formula>
    </cfRule>
  </conditionalFormatting>
  <conditionalFormatting sqref="C9">
    <cfRule type="expression" dxfId="1" priority="2">
      <formula>$C$8=$Q$8</formula>
    </cfRule>
  </conditionalFormatting>
  <conditionalFormatting sqref="B13:C13">
    <cfRule type="expression" dxfId="0" priority="1">
      <formula>$C$12=$R$8</formula>
    </cfRule>
  </conditionalFormatting>
  <dataValidations count="5">
    <dataValidation type="list" allowBlank="1" showInputMessage="1" showErrorMessage="1" sqref="C9" xr:uid="{49E536B3-F254-4C19-A2E7-4BA420823A64}">
      <formula1>$Q$10:$Q$12</formula1>
    </dataValidation>
    <dataValidation type="list" allowBlank="1" showInputMessage="1" showErrorMessage="1" sqref="C6" xr:uid="{6EDBA839-F711-498D-A5EA-75A9D92A330F}">
      <formula1>$Q$3:$Q$4</formula1>
    </dataValidation>
    <dataValidation type="list" allowBlank="1" showInputMessage="1" showErrorMessage="1" sqref="C10" xr:uid="{7D18DE8F-6261-4BE6-9F08-C290A047AA19}">
      <formula1>$S$6:$S$9</formula1>
    </dataValidation>
    <dataValidation type="list" allowBlank="1" showInputMessage="1" showErrorMessage="1" sqref="C12" xr:uid="{E7F1A1CB-E718-4A56-AA8C-62060700782E}">
      <formula1>$R$6:$R$8</formula1>
    </dataValidation>
    <dataValidation type="list" allowBlank="1" showInputMessage="1" showErrorMessage="1" sqref="C8" xr:uid="{8A674FB3-425B-411E-9751-415566DFF324}">
      <formula1>$Q$6:$Q$8</formula1>
    </dataValidation>
  </dataValidations>
  <printOptions horizontalCentered="1"/>
  <pageMargins left="0" right="0" top="0.75" bottom="0.75" header="0.3" footer="0.3"/>
  <pageSetup scale="67" fitToHeight="0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Undergrad- LE</vt:lpstr>
      <vt:lpstr>Graduate OL</vt:lpstr>
      <vt:lpstr>Grad Online - Inload &gt;40</vt:lpstr>
      <vt:lpstr>'Grad Online - Inload &gt;40'!Print_Area</vt:lpstr>
      <vt:lpstr>'Graduate OL'!Print_Area</vt:lpstr>
      <vt:lpstr>'Undergrad- 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Gentry, Michelle L</dc:creator>
  <cp:lastModifiedBy>Michelle L Gentry</cp:lastModifiedBy>
  <cp:lastPrinted>2025-09-11T15:27:35Z</cp:lastPrinted>
  <dcterms:created xsi:type="dcterms:W3CDTF">2023-11-13T16:39:03Z</dcterms:created>
  <dcterms:modified xsi:type="dcterms:W3CDTF">2025-10-21T20:30:21Z</dcterms:modified>
</cp:coreProperties>
</file>